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3.xml" ContentType="application/vnd.openxmlformats-officedocument.drawing+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4.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5.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6.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7.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8.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9.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10.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11.xml" ContentType="application/vnd.openxmlformats-officedocument.drawing+xml"/>
  <Override PartName="/xl/ctrlProps/ctrlProp74.xml" ContentType="application/vnd.ms-excel.controlproperties+xml"/>
  <Override PartName="/xl/ctrlProps/ctrlProp75.xml" ContentType="application/vnd.ms-excel.controlproperties+xml"/>
  <Override PartName="/xl/drawings/drawing12.xml" ContentType="application/vnd.openxmlformats-officedocument.drawing+xml"/>
  <Override PartName="/xl/activeX/activeX9.xml" ContentType="application/vnd.ms-office.activeX+xml"/>
  <Override PartName="/xl/activeX/activeX9.bin" ContentType="application/vnd.ms-office.activeX"/>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3.xml" ContentType="application/vnd.openxmlformats-officedocument.drawing+xml"/>
  <Override PartName="/xl/activeX/activeX10.xml" ContentType="application/vnd.ms-office.activeX+xml"/>
  <Override PartName="/xl/activeX/activeX10.bin" ContentType="application/vnd.ms-office.activeX"/>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4.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15.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17.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18.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19.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20.xml" ContentType="application/vnd.openxmlformats-officedocument.drawing+xml"/>
  <Override PartName="/xl/activeX/activeX18.xml" ContentType="application/vnd.ms-office.activeX+xml"/>
  <Override PartName="/xl/activeX/activeX18.bin" ContentType="application/vnd.ms-office.activeX"/>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21.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22.xml" ContentType="application/vnd.openxmlformats-officedocument.drawing+xml"/>
  <Override PartName="/xl/ctrlProps/ctrlProp108.xml" ContentType="application/vnd.ms-excel.controlproperties+xml"/>
  <Override PartName="/xl/ctrlProps/ctrlProp109.xml" ContentType="application/vnd.ms-excel.controlproperties+xml"/>
  <Override PartName="/xl/drawings/drawing23.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24.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25.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drawings/drawing26.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27.xml" ContentType="application/vnd.openxmlformats-officedocument.drawing+xml"/>
  <Override PartName="/xl/ctrlProps/ctrlProp123.xml" ContentType="application/vnd.ms-excel.controlproperties+xml"/>
  <Override PartName="/xl/ctrlProps/ctrlProp124.xml" ContentType="application/vnd.ms-excel.controlproperties+xml"/>
  <Override PartName="/xl/drawings/drawing28.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activeX/activeX19.xml" ContentType="application/vnd.ms-office.activeX+xml"/>
  <Override PartName="/xl/activeX/activeX19.bin" ContentType="application/vnd.ms-office.activeX"/>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drawings/drawing29.xml" ContentType="application/vnd.openxmlformats-officedocument.drawing+xml"/>
  <Override PartName="/xl/ctrlProps/ctrlProp128.xml" ContentType="application/vnd.ms-excel.controlproperties+xml"/>
  <Override PartName="/xl/ctrlProps/ctrlProp129.xml" ContentType="application/vnd.ms-excel.controlproperties+xml"/>
  <Override PartName="/xl/drawings/drawing30.xml" ContentType="application/vnd.openxmlformats-officedocument.drawing+xml"/>
  <Override PartName="/xl/ctrlProps/ctrlProp130.xml" ContentType="application/vnd.ms-excel.controlproperties+xml"/>
  <Override PartName="/xl/ctrlProps/ctrlProp131.xml" ContentType="application/vnd.ms-excel.controlproperties+xml"/>
  <Override PartName="/xl/drawings/drawing31.xml" ContentType="application/vnd.openxmlformats-officedocument.drawing+xml"/>
  <Override PartName="/xl/ctrlProps/ctrlProp132.xml" ContentType="application/vnd.ms-excel.controlproperties+xml"/>
  <Override PartName="/xl/ctrlProps/ctrlProp133.xml" ContentType="application/vnd.ms-excel.controlproperties+xml"/>
  <Override PartName="/xl/drawings/drawing32.xml" ContentType="application/vnd.openxmlformats-officedocument.drawing+xml"/>
  <Override PartName="/xl/ctrlProps/ctrlProp134.xml" ContentType="application/vnd.ms-excel.controlproperties+xml"/>
  <Override PartName="/xl/ctrlProps/ctrlProp135.xml" ContentType="application/vnd.ms-excel.controlproperties+xml"/>
  <Override PartName="/xl/drawings/drawing33.xml" ContentType="application/vnd.openxmlformats-officedocument.drawing+xml"/>
  <Override PartName="/xl/activeX/activeX20.xml" ContentType="application/vnd.ms-office.activeX+xml"/>
  <Override PartName="/xl/activeX/activeX20.bin" ContentType="application/vnd.ms-office.activeX"/>
  <Override PartName="/xl/ctrlProps/ctrlProp136.xml" ContentType="application/vnd.ms-excel.controlproperties+xml"/>
  <Override PartName="/xl/ctrlProps/ctrlProp137.xml" ContentType="application/vnd.ms-excel.controlproperties+xml"/>
  <Override PartName="/xl/drawings/drawing34.xml" ContentType="application/vnd.openxmlformats-officedocument.drawing+xml"/>
  <Override PartName="/xl/ctrlProps/ctrlProp138.xml" ContentType="application/vnd.ms-excel.controlproperties+xml"/>
  <Override PartName="/xl/ctrlProps/ctrlProp139.xml" ContentType="application/vnd.ms-excel.controlproperties+xml"/>
  <Override PartName="/xl/drawings/drawing35.xml" ContentType="application/vnd.openxmlformats-officedocument.drawing+xml"/>
  <Override PartName="/xl/ctrlProps/ctrlProp140.xml" ContentType="application/vnd.ms-excel.controlproperties+xml"/>
  <Override PartName="/xl/drawings/drawing36.xml" ContentType="application/vnd.openxmlformats-officedocument.drawing+xml"/>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ctrlProps/ctrlProp141.xml" ContentType="application/vnd.ms-excel.controlproperties+xml"/>
  <Override PartName="/xl/ctrlProps/ctrlProp142.xml" ContentType="application/vnd.ms-excel.controlproperties+xml"/>
  <Override PartName="/xl/drawings/drawing37.xml" ContentType="application/vnd.openxmlformats-officedocument.drawing+xml"/>
  <Override PartName="/xl/ctrlProps/ctrlProp14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529"/>
  <workbookPr showInkAnnotation="0" codeName="ThisWorkbook" defaultThemeVersion="124226"/>
  <mc:AlternateContent xmlns:mc="http://schemas.openxmlformats.org/markup-compatibility/2006">
    <mc:Choice Requires="x15">
      <x15ac:absPath xmlns:x15ac="http://schemas.microsoft.com/office/spreadsheetml/2010/11/ac" url="S:\Utilities\Rates\2023 Water Utility Conventional Rate Case\"/>
    </mc:Choice>
  </mc:AlternateContent>
  <xr:revisionPtr revIDLastSave="0" documentId="8_{34902AE6-78D4-4D60-A048-94BA2493A482}" xr6:coauthVersionLast="47" xr6:coauthVersionMax="47" xr10:uidLastSave="{00000000-0000-0000-0000-000000000000}"/>
  <bookViews>
    <workbookView xWindow="-108" yWindow="-108" windowWidth="23256" windowHeight="12576" tabRatio="828" firstSheet="27" activeTab="39"/>
  </bookViews>
  <sheets>
    <sheet name="Start" sheetId="1" state="hidden" r:id="rId1"/>
    <sheet name="Data" sheetId="2" state="hidden" r:id="rId2"/>
    <sheet name="Main_Menu" sheetId="43" r:id="rId3"/>
    <sheet name="Instructions" sheetId="44" r:id="rId4"/>
    <sheet name="Contact_Info" sheetId="45" r:id="rId5"/>
    <sheet name="Ratemaking Goals" sheetId="40" r:id="rId6"/>
    <sheet name="Hearing" sheetId="6" r:id="rId7"/>
    <sheet name="Attach1" sheetId="7" r:id="rId8"/>
    <sheet name="Attach2A" sheetId="8" r:id="rId9"/>
    <sheet name="Attach2B" sheetId="9" r:id="rId10"/>
    <sheet name="Attach2C" sheetId="10" r:id="rId11"/>
    <sheet name="Attach3A" sheetId="11" r:id="rId12"/>
    <sheet name="Attach3B" sheetId="12" r:id="rId13"/>
    <sheet name="Attach3W" sheetId="13" r:id="rId14"/>
    <sheet name="Attach4" sheetId="14" r:id="rId15"/>
    <sheet name="Attach5" sheetId="15" r:id="rId16"/>
    <sheet name="Attach6" sheetId="16" r:id="rId17"/>
    <sheet name="Attach7" sheetId="17" r:id="rId18"/>
    <sheet name="Attach8" sheetId="18" r:id="rId19"/>
    <sheet name="Attach9" sheetId="19" r:id="rId20"/>
    <sheet name="Attach10_AB" sheetId="20" state="hidden" r:id="rId21"/>
    <sheet name="Attach10_C" sheetId="21" state="hidden" r:id="rId22"/>
    <sheet name="Attach10_D" sheetId="22" r:id="rId23"/>
    <sheet name="Attach11" sheetId="23" r:id="rId24"/>
    <sheet name="Attach11a" sheetId="24" r:id="rId25"/>
    <sheet name="Attach12" sheetId="25" r:id="rId26"/>
    <sheet name="Attach13" sheetId="26" r:id="rId27"/>
    <sheet name="Attach14" sheetId="27" r:id="rId28"/>
    <sheet name="Attach15" sheetId="28" r:id="rId29"/>
    <sheet name="Attach16" sheetId="29" r:id="rId30"/>
    <sheet name="Attach17" sheetId="30" r:id="rId31"/>
    <sheet name="Attach18" sheetId="31" r:id="rId32"/>
    <sheet name="Attach19" sheetId="32" r:id="rId33"/>
    <sheet name="Attach19a" sheetId="37" r:id="rId34"/>
    <sheet name="Attach19b" sheetId="39" r:id="rId35"/>
    <sheet name="Attach20" sheetId="33" r:id="rId36"/>
    <sheet name="Attach21" sheetId="34" r:id="rId37"/>
    <sheet name="Attach22" sheetId="35" r:id="rId38"/>
    <sheet name="Edit_Checks" sheetId="41" r:id="rId39"/>
    <sheet name="Attach23" sheetId="36" r:id="rId40"/>
  </sheets>
  <externalReferences>
    <externalReference r:id="rId41"/>
  </externalReferences>
  <definedNames>
    <definedName name="ActualDate" localSheetId="9">Attach2B!$L$11</definedName>
    <definedName name="asdfas" localSheetId="4" hidden="1">{#N/A,#N/A,FALSE,"AttachC2 &amp; 3";#N/A,#N/A,FALSE,"AttachC4";#N/A,#N/A,FALSE,"AttachC5";#N/A,#N/A,FALSE,"AttachC6,pg1";#N/A,#N/A,FALSE,"AttachC6,pg2";#N/A,#N/A,FALSE,"AttachC8";#N/A,#N/A,FALSE,"AttachC9";#N/A,#N/A,FALSE,"AttachC10"}</definedName>
    <definedName name="asdfas" localSheetId="3" hidden="1">{#N/A,#N/A,FALSE,"AttachC2 &amp; 3";#N/A,#N/A,FALSE,"AttachC4";#N/A,#N/A,FALSE,"AttachC5";#N/A,#N/A,FALSE,"AttachC6,pg1";#N/A,#N/A,FALSE,"AttachC6,pg2";#N/A,#N/A,FALSE,"AttachC8";#N/A,#N/A,FALSE,"AttachC9";#N/A,#N/A,FALSE,"AttachC10"}</definedName>
    <definedName name="asdfas" localSheetId="2" hidden="1">{#N/A,#N/A,FALSE,"AttachC2 &amp; 3";#N/A,#N/A,FALSE,"AttachC4";#N/A,#N/A,FALSE,"AttachC5";#N/A,#N/A,FALSE,"AttachC6,pg1";#N/A,#N/A,FALSE,"AttachC6,pg2";#N/A,#N/A,FALSE,"AttachC8";#N/A,#N/A,FALSE,"AttachC9";#N/A,#N/A,FALSE,"AttachC10"}</definedName>
    <definedName name="asdfas" hidden="1">{#N/A,#N/A,FALSE,"AttachC2 &amp; 3";#N/A,#N/A,FALSE,"AttachC4";#N/A,#N/A,FALSE,"AttachC5";#N/A,#N/A,FALSE,"AttachC6,pg1";#N/A,#N/A,FALSE,"AttachC6,pg2";#N/A,#N/A,FALSE,"AttachC8";#N/A,#N/A,FALSE,"AttachC9";#N/A,#N/A,FALSE,"AttachC10"}</definedName>
    <definedName name="Attch7" localSheetId="20" hidden="1">{#N/A,#N/A,FALSE,"AttachC2 &amp; 3";#N/A,#N/A,FALSE,"AttachC4";#N/A,#N/A,FALSE,"AttachC5";#N/A,#N/A,FALSE,"AttachC6,pg1";#N/A,#N/A,FALSE,"AttachC6,pg2";#N/A,#N/A,FALSE,"AttachC8";#N/A,#N/A,FALSE,"AttachC9";#N/A,#N/A,FALSE,"AttachC10"}</definedName>
    <definedName name="Attch7" localSheetId="21" hidden="1">{#N/A,#N/A,FALSE,"AttachC2 &amp; 3";#N/A,#N/A,FALSE,"AttachC4";#N/A,#N/A,FALSE,"AttachC5";#N/A,#N/A,FALSE,"AttachC6,pg1";#N/A,#N/A,FALSE,"AttachC6,pg2";#N/A,#N/A,FALSE,"AttachC8";#N/A,#N/A,FALSE,"AttachC9";#N/A,#N/A,FALSE,"AttachC10"}</definedName>
    <definedName name="Attch7" localSheetId="22" hidden="1">{#N/A,#N/A,FALSE,"AttachC2 &amp; 3";#N/A,#N/A,FALSE,"AttachC4";#N/A,#N/A,FALSE,"AttachC5";#N/A,#N/A,FALSE,"AttachC6,pg1";#N/A,#N/A,FALSE,"AttachC6,pg2";#N/A,#N/A,FALSE,"AttachC8";#N/A,#N/A,FALSE,"AttachC9";#N/A,#N/A,FALSE,"AttachC10"}</definedName>
    <definedName name="Attch7" localSheetId="28" hidden="1">{#N/A,#N/A,FALSE,"AttachC2 &amp; 3";#N/A,#N/A,FALSE,"AttachC4";#N/A,#N/A,FALSE,"AttachC5";#N/A,#N/A,FALSE,"AttachC6,pg1";#N/A,#N/A,FALSE,"AttachC6,pg2";#N/A,#N/A,FALSE,"AttachC8";#N/A,#N/A,FALSE,"AttachC9";#N/A,#N/A,FALSE,"AttachC10"}</definedName>
    <definedName name="Attch7" localSheetId="30" hidden="1">{#N/A,#N/A,FALSE,"AttachC2 &amp; 3";#N/A,#N/A,FALSE,"AttachC4";#N/A,#N/A,FALSE,"AttachC5";#N/A,#N/A,FALSE,"AttachC6,pg1";#N/A,#N/A,FALSE,"AttachC6,pg2";#N/A,#N/A,FALSE,"AttachC8";#N/A,#N/A,FALSE,"AttachC9";#N/A,#N/A,FALSE,"AttachC10"}</definedName>
    <definedName name="Attch7" localSheetId="32" hidden="1">{#N/A,#N/A,FALSE,"AttachC2 &amp; 3";#N/A,#N/A,FALSE,"AttachC4";#N/A,#N/A,FALSE,"AttachC5";#N/A,#N/A,FALSE,"AttachC6,pg1";#N/A,#N/A,FALSE,"AttachC6,pg2";#N/A,#N/A,FALSE,"AttachC8";#N/A,#N/A,FALSE,"AttachC9";#N/A,#N/A,FALSE,"AttachC10"}</definedName>
    <definedName name="Attch7" localSheetId="35" hidden="1">{#N/A,#N/A,FALSE,"AttachC2 &amp; 3";#N/A,#N/A,FALSE,"AttachC4";#N/A,#N/A,FALSE,"AttachC5";#N/A,#N/A,FALSE,"AttachC6,pg1";#N/A,#N/A,FALSE,"AttachC6,pg2";#N/A,#N/A,FALSE,"AttachC8";#N/A,#N/A,FALSE,"AttachC9";#N/A,#N/A,FALSE,"AttachC10"}</definedName>
    <definedName name="Attch7" localSheetId="36" hidden="1">{#N/A,#N/A,FALSE,"AttachC2 &amp; 3";#N/A,#N/A,FALSE,"AttachC4";#N/A,#N/A,FALSE,"AttachC5";#N/A,#N/A,FALSE,"AttachC6,pg1";#N/A,#N/A,FALSE,"AttachC6,pg2";#N/A,#N/A,FALSE,"AttachC8";#N/A,#N/A,FALSE,"AttachC9";#N/A,#N/A,FALSE,"AttachC10"}</definedName>
    <definedName name="Attch7" localSheetId="37" hidden="1">{#N/A,#N/A,FALSE,"AttachC2 &amp; 3";#N/A,#N/A,FALSE,"AttachC4";#N/A,#N/A,FALSE,"AttachC5";#N/A,#N/A,FALSE,"AttachC6,pg1";#N/A,#N/A,FALSE,"AttachC6,pg2";#N/A,#N/A,FALSE,"AttachC8";#N/A,#N/A,FALSE,"AttachC9";#N/A,#N/A,FALSE,"AttachC10"}</definedName>
    <definedName name="Attch7" localSheetId="4" hidden="1">{#N/A,#N/A,FALSE,"AttachC2 &amp; 3";#N/A,#N/A,FALSE,"AttachC4";#N/A,#N/A,FALSE,"AttachC5";#N/A,#N/A,FALSE,"AttachC6,pg1";#N/A,#N/A,FALSE,"AttachC6,pg2";#N/A,#N/A,FALSE,"AttachC8";#N/A,#N/A,FALSE,"AttachC9";#N/A,#N/A,FALSE,"AttachC10"}</definedName>
    <definedName name="Attch7" localSheetId="38" hidden="1">{#N/A,#N/A,FALSE,"AttachC2 &amp; 3";#N/A,#N/A,FALSE,"AttachC4";#N/A,#N/A,FALSE,"AttachC5";#N/A,#N/A,FALSE,"AttachC6,pg1";#N/A,#N/A,FALSE,"AttachC6,pg2";#N/A,#N/A,FALSE,"AttachC8";#N/A,#N/A,FALSE,"AttachC9";#N/A,#N/A,FALSE,"AttachC10"}</definedName>
    <definedName name="Attch7" localSheetId="6" hidden="1">{#N/A,#N/A,FALSE,"AttachC2 &amp; 3";#N/A,#N/A,FALSE,"AttachC4";#N/A,#N/A,FALSE,"AttachC5";#N/A,#N/A,FALSE,"AttachC6,pg1";#N/A,#N/A,FALSE,"AttachC6,pg2";#N/A,#N/A,FALSE,"AttachC8";#N/A,#N/A,FALSE,"AttachC9";#N/A,#N/A,FALSE,"AttachC10"}</definedName>
    <definedName name="Attch7" localSheetId="3" hidden="1">{#N/A,#N/A,FALSE,"AttachC2 &amp; 3";#N/A,#N/A,FALSE,"AttachC4";#N/A,#N/A,FALSE,"AttachC5";#N/A,#N/A,FALSE,"AttachC6,pg1";#N/A,#N/A,FALSE,"AttachC6,pg2";#N/A,#N/A,FALSE,"AttachC8";#N/A,#N/A,FALSE,"AttachC9";#N/A,#N/A,FALSE,"AttachC10"}</definedName>
    <definedName name="Attch7" localSheetId="2" hidden="1">{#N/A,#N/A,FALSE,"AttachC2 &amp; 3";#N/A,#N/A,FALSE,"AttachC4";#N/A,#N/A,FALSE,"AttachC5";#N/A,#N/A,FALSE,"AttachC6,pg1";#N/A,#N/A,FALSE,"AttachC6,pg2";#N/A,#N/A,FALSE,"AttachC8";#N/A,#N/A,FALSE,"AttachC9";#N/A,#N/A,FALSE,"AttachC10"}</definedName>
    <definedName name="Attch7" localSheetId="0" hidden="1">{#N/A,#N/A,FALSE,"AttachC2 &amp; 3";#N/A,#N/A,FALSE,"AttachC4";#N/A,#N/A,FALSE,"AttachC5";#N/A,#N/A,FALSE,"AttachC6,pg1";#N/A,#N/A,FALSE,"AttachC6,pg2";#N/A,#N/A,FALSE,"AttachC8";#N/A,#N/A,FALSE,"AttachC9";#N/A,#N/A,FALSE,"AttachC10"}</definedName>
    <definedName name="Attch7" hidden="1">{#N/A,#N/A,FALSE,"AttachC2 &amp; 3";#N/A,#N/A,FALSE,"AttachC4";#N/A,#N/A,FALSE,"AttachC5";#N/A,#N/A,FALSE,"AttachC6,pg1";#N/A,#N/A,FALSE,"AttachC6,pg2";#N/A,#N/A,FALSE,"AttachC8";#N/A,#N/A,FALSE,"AttachC9";#N/A,#N/A,FALSE,"AttachC10"}</definedName>
    <definedName name="BillingPeriods" localSheetId="4">[1]Attach2B!$G$11</definedName>
    <definedName name="BillingPeriods" localSheetId="3">[1]Attach2B!$G$11</definedName>
    <definedName name="BillingPeriods" localSheetId="2">[1]Attach2B!$G$11</definedName>
    <definedName name="BillingPeriods">Attach2B!$G$11</definedName>
    <definedName name="Block1" localSheetId="4">[1]Attach2A!$D$18</definedName>
    <definedName name="Block1" localSheetId="3">[1]Attach2A!$D$18</definedName>
    <definedName name="Block1" localSheetId="2">[1]Attach2A!$D$18</definedName>
    <definedName name="Block1">Attach2A!$D$18</definedName>
    <definedName name="Block2" localSheetId="4">[1]Attach2A!$D$19</definedName>
    <definedName name="Block2" localSheetId="3">[1]Attach2A!$D$19</definedName>
    <definedName name="Block2" localSheetId="2">[1]Attach2A!$D$19</definedName>
    <definedName name="Block2">Attach2A!$D$19</definedName>
    <definedName name="Block3" localSheetId="4">[1]Attach2A!$D$20</definedName>
    <definedName name="Block3" localSheetId="3">[1]Attach2A!$D$20</definedName>
    <definedName name="Block3" localSheetId="2">[1]Attach2A!$D$20</definedName>
    <definedName name="Block3">Attach2A!$D$20</definedName>
    <definedName name="Block4" localSheetId="4">[1]Attach2A!$D$21</definedName>
    <definedName name="Block4" localSheetId="3">[1]Attach2A!$D$21</definedName>
    <definedName name="Block4" localSheetId="2">[1]Attach2A!$D$21</definedName>
    <definedName name="Block4">Attach2A!$D$21</definedName>
    <definedName name="Block5" localSheetId="4">[1]Attach2A!$D$22</definedName>
    <definedName name="Block5" localSheetId="3">[1]Attach2A!$D$22</definedName>
    <definedName name="Block5" localSheetId="2">[1]Attach2A!$D$22</definedName>
    <definedName name="Block5">Attach2A!$D$22</definedName>
    <definedName name="CBRate" localSheetId="4">[1]Attach2A!$G$10</definedName>
    <definedName name="CBRate" localSheetId="3">[1]Attach2A!$G$10</definedName>
    <definedName name="CBRate" localSheetId="2">[1]Attach2A!$G$10</definedName>
    <definedName name="CBRate">Attach2A!$G$10</definedName>
    <definedName name="Class" localSheetId="4">[1]Data!$H$4</definedName>
    <definedName name="Class" localSheetId="3">[1]Data!$H$4</definedName>
    <definedName name="Class" localSheetId="2">[1]Data!$H$4</definedName>
    <definedName name="Class">Data!$H$4</definedName>
    <definedName name="CommMeters" localSheetId="9">Attach2B!$I$18:$I$30</definedName>
    <definedName name="CommMetersTY" localSheetId="12">Attach3B!$I$18:$I$30</definedName>
    <definedName name="CommUnits">Attach2A!$F$34:$F$38</definedName>
    <definedName name="CommUnitsTY">Attach3A!$F$39:$F$43</definedName>
    <definedName name="CommVolRates">Attach3A!$F$23:$F$27</definedName>
    <definedName name="Conservation">Attach17!$I$98</definedName>
    <definedName name="Depreciation1">Attach12!$E$22:$E$27</definedName>
    <definedName name="Depreciation2">Attach12!$E$33:$E$37</definedName>
    <definedName name="Depreciation3">Attach12!$E$43:$E$46</definedName>
    <definedName name="Depreciation4">Attach12!$E$62:$E$68</definedName>
    <definedName name="Depreciation5">Attach12!$E$75:$E$85</definedName>
    <definedName name="IndMeters" localSheetId="9">Attach2B!$J$18:$J$30</definedName>
    <definedName name="IndMetersTY" localSheetId="12">Attach3B!$J$18:$J$30</definedName>
    <definedName name="IndUnits">Attach2A!$G$34:$G$38</definedName>
    <definedName name="IndUnitsTY">Attach3A!$G$39:$G$43</definedName>
    <definedName name="IrrigationRate">Attach17!$F$95</definedName>
    <definedName name="IrrMeters" localSheetId="9">Attach2B!$L$18:$L$30</definedName>
    <definedName name="IrrMetersTY" localSheetId="12">Attach3B!$L$18:$L$30</definedName>
    <definedName name="IrrRates">Attach2A!$I$15</definedName>
    <definedName name="IrrUnits">Attach2A!$I$34:$I$38</definedName>
    <definedName name="IrrUnitsTY">Attach3A!$I$39:$I$43</definedName>
    <definedName name="IrrVolRates">Attach3A!$G$23:$G$27</definedName>
    <definedName name="Measurement" localSheetId="4">[1]Attach2B!$CU$2</definedName>
    <definedName name="Measurement" localSheetId="3">[1]Attach2B!$CU$2</definedName>
    <definedName name="Measurement" localSheetId="2">[1]Attach2B!$CU$2</definedName>
    <definedName name="Measurement">Attach2B!$CU$2</definedName>
    <definedName name="MeterRates">Attach3B!$E$18:$E$30</definedName>
    <definedName name="MFMeters" localSheetId="9">Attach2B!$H$18:$H$30</definedName>
    <definedName name="MFMetersTY" localSheetId="12">Attach3B!$H$18:$H$30</definedName>
    <definedName name="MFRates">Attach2A!$I$14</definedName>
    <definedName name="MFUnits">Attach2A!$E$34:$E$38</definedName>
    <definedName name="MFUnitsTY">Attach3A!$E$39:$E$43</definedName>
    <definedName name="MFVolRates">Attach3A!$H$23:$H$27</definedName>
    <definedName name="MissedAppt" localSheetId="4">[1]Attach17!$F$38</definedName>
    <definedName name="MissedAppt" localSheetId="3">[1]Attach17!$F$38</definedName>
    <definedName name="MissedAppt" localSheetId="2">[1]Attach17!$F$38</definedName>
    <definedName name="MissedAppt">Attach17!$F$38</definedName>
    <definedName name="MuniPFP">Attach5!$F$28:$J$41</definedName>
    <definedName name="NIRB">Attach14!$H$38</definedName>
    <definedName name="Note1">Attach1!$C$76</definedName>
    <definedName name="Note10_AB">Attach10_AB!$C$119</definedName>
    <definedName name="Note10_C">Attach10_C!$C$96</definedName>
    <definedName name="Note10_D">Attach10_D!$C$51</definedName>
    <definedName name="Note11">Attach11!$C$100</definedName>
    <definedName name="Note11A">Attach11a!$C$103</definedName>
    <definedName name="Note12">Attach12!$C$107</definedName>
    <definedName name="Note13">Attach13!$C$49</definedName>
    <definedName name="Note14">Attach14!$C$68</definedName>
    <definedName name="Note15">Attach15!$C$75</definedName>
    <definedName name="Note16">Attach16!$C$38</definedName>
    <definedName name="Note17">Attach17!$C$152</definedName>
    <definedName name="Note18">Attach18!$C$40</definedName>
    <definedName name="Note19">Attach19!$B$8</definedName>
    <definedName name="Note19A">Attach19a!$C$85</definedName>
    <definedName name="Note20">Attach20!$C$69</definedName>
    <definedName name="Note2A">Attach2A!$C$54</definedName>
    <definedName name="Note2B">Attach2B!$D$52</definedName>
    <definedName name="Note3A">Attach3A!$C$57</definedName>
    <definedName name="Note3B">Attach3B!$D$55</definedName>
    <definedName name="Note3W">Attach3W!$C$42</definedName>
    <definedName name="Note4">Attach4!$C$49</definedName>
    <definedName name="Note5">Attach5!$C$82</definedName>
    <definedName name="Note6">Attach6!$C$51</definedName>
    <definedName name="Note7">Attach7!$C$64</definedName>
    <definedName name="Note8">Attach8!$C$43</definedName>
    <definedName name="Note9">Attach9!$C$76</definedName>
    <definedName name="NRRates">Attach2A!$F$14</definedName>
    <definedName name="NSF" localSheetId="4">[1]Attach17!$F$33</definedName>
    <definedName name="NSF" localSheetId="3">[1]Attach17!$F$33</definedName>
    <definedName name="NSF" localSheetId="2">[1]Attach17!$F$33</definedName>
    <definedName name="NSF">Attach17!$F$33</definedName>
    <definedName name="OLE_LINK1" localSheetId="5">'Ratemaking Goals'!#REF!</definedName>
    <definedName name="OtherFees">Attach17!$F$40</definedName>
    <definedName name="PAMeters" localSheetId="9">Attach2B!$K$18:$K$30</definedName>
    <definedName name="PAMetersTY" localSheetId="12">Attach3B!$K$18:$K$30</definedName>
    <definedName name="PAUnits">Attach2A!$H$34:$H$38</definedName>
    <definedName name="PAUnitsTY">Attach3A!$H$39:$H$43</definedName>
    <definedName name="PFPCharge" localSheetId="4">[1]Attach17!$C$51</definedName>
    <definedName name="PFPCharge" localSheetId="3">[1]Attach17!$C$51</definedName>
    <definedName name="PFPCharge" localSheetId="2">[1]Attach17!$C$51</definedName>
    <definedName name="PFPCharge">Attach17!$C$51</definedName>
    <definedName name="PFPRates">Attach5!$D$60:$D$72</definedName>
    <definedName name="_xlnm.Print_Area" localSheetId="7">Attach1!$B$4:$J$82</definedName>
    <definedName name="_xlnm.Print_Area" localSheetId="20">Attach10_AB!$A$1:$L$116</definedName>
    <definedName name="_xlnm.Print_Area" localSheetId="21">Attach10_C!$A$1:$K$94</definedName>
    <definedName name="_xlnm.Print_Area" localSheetId="22">Attach10_D!$B$1:$L$64</definedName>
    <definedName name="_xlnm.Print_Area" localSheetId="23">Attach11!$A$1:$P$113</definedName>
    <definedName name="_xlnm.Print_Area" localSheetId="24">Attach11a!$A$1:$O$97</definedName>
    <definedName name="_xlnm.Print_Area" localSheetId="25">Attach12!$A$1:$P$120</definedName>
    <definedName name="_xlnm.Print_Area" localSheetId="26">Attach13!$A$1:$N$59</definedName>
    <definedName name="_xlnm.Print_Area" localSheetId="27">Attach14!$A$1:$J$82</definedName>
    <definedName name="_xlnm.Print_Area" localSheetId="28">Attach15!$A$1:$K$85</definedName>
    <definedName name="_xlnm.Print_Area" localSheetId="29">Attach16!$A$1:$K$55</definedName>
    <definedName name="_xlnm.Print_Area" localSheetId="30">Attach17!$A$1:$M$165</definedName>
    <definedName name="_xlnm.Print_Area" localSheetId="31">Attach18!$A$1:$I$58</definedName>
    <definedName name="_xlnm.Print_Area" localSheetId="32">Attach19!$A$1:$L$52</definedName>
    <definedName name="_xlnm.Print_Area" localSheetId="33">Attach19a!$A$1:$M$97</definedName>
    <definedName name="_xlnm.Print_Area" localSheetId="34">Attach19b!$B$2:$M$57</definedName>
    <definedName name="_xlnm.Print_Area" localSheetId="35">Attach20!$A$1:$N$84</definedName>
    <definedName name="_xlnm.Print_Area" localSheetId="36">Attach21!$A$1:$K$60</definedName>
    <definedName name="_xlnm.Print_Area" localSheetId="37">Attach22!$A$1:$N$46</definedName>
    <definedName name="_xlnm.Print_Area" localSheetId="8">Attach2A!$A$2:$M$60</definedName>
    <definedName name="_xlnm.Print_Area" localSheetId="9">Attach2B!$A$3:$O$66</definedName>
    <definedName name="_xlnm.Print_Area" localSheetId="11">Attach3A!$A$3:$M$68</definedName>
    <definedName name="_xlnm.Print_Area" localSheetId="12">Attach3B!$A$3:$O$68</definedName>
    <definedName name="_xlnm.Print_Area" localSheetId="13">Attach3W!$A$3:$M$55</definedName>
    <definedName name="_xlnm.Print_Area" localSheetId="14">Attach4!$A$3:$J$63</definedName>
    <definedName name="_xlnm.Print_Area" localSheetId="15">Attach5!$A$5:$L$95</definedName>
    <definedName name="_xlnm.Print_Area" localSheetId="16">Attach6!$B$3:$J$64</definedName>
    <definedName name="_xlnm.Print_Area" localSheetId="17">Attach7!$A$1:$J$74</definedName>
    <definedName name="_xlnm.Print_Area" localSheetId="18">Attach8!$A$1:$K$54</definedName>
    <definedName name="_xlnm.Print_Area" localSheetId="19">Attach9!$B$1:$J$90</definedName>
    <definedName name="_xlnm.Print_Area" localSheetId="4">Contact_Info!$A$1:$D$23</definedName>
    <definedName name="_xlnm.Print_Area" localSheetId="6">Hearing!$A$1:$Q$32</definedName>
    <definedName name="_xlnm.Print_Area" localSheetId="3">Instructions!$A$1:$E$301</definedName>
    <definedName name="_xlnm.Print_Area" localSheetId="2">Main_Menu!$A$1:$E$39</definedName>
    <definedName name="_xlnm.Print_Area" localSheetId="5">'Ratemaking Goals'!$B$4:$N$78</definedName>
    <definedName name="PrivateFPMeters">Attach6!$E$15:$E$23</definedName>
    <definedName name="PrivateFPRates">Attach6!$G$15:$G$23</definedName>
    <definedName name="Question1">Attach1!$C$50</definedName>
    <definedName name="Question2">Attach1!$C$53</definedName>
    <definedName name="Question3">Attach1!$C$56</definedName>
    <definedName name="Question4">Attach1!$C$59</definedName>
    <definedName name="Question5">Attach1!$C$62</definedName>
    <definedName name="Question6">Attach1!$C$65</definedName>
    <definedName name="RealEstateClosing" localSheetId="4">[1]Attach17!$F$39</definedName>
    <definedName name="RealEstateClosing" localSheetId="3">[1]Attach17!$F$39</definedName>
    <definedName name="RealEstateClosing" localSheetId="2">[1]Attach17!$F$39</definedName>
    <definedName name="RealEstateClosing">Attach17!$F$39</definedName>
    <definedName name="ResMeters" localSheetId="9">Attach2B!$G$18:$G$30</definedName>
    <definedName name="ResMetersTY" localSheetId="12">Attach3B!$G$18:$G$30</definedName>
    <definedName name="ResUnits">Attach2A!$D$34:$D$38</definedName>
    <definedName name="ResUnitsTY">Attach3A!$D$39:$D$43</definedName>
    <definedName name="SpecialBilling" localSheetId="4">[1]Attach17!$F$36</definedName>
    <definedName name="SpecialBilling" localSheetId="3">[1]Attach17!$F$36</definedName>
    <definedName name="SpecialBilling" localSheetId="2">[1]Attach17!$F$36</definedName>
    <definedName name="SpecialBilling">Attach17!$F$36</definedName>
    <definedName name="SpecialMeterReading" localSheetId="4">[1]Attach17!$F$37</definedName>
    <definedName name="SpecialMeterReading" localSheetId="3">[1]Attach17!$F$37</definedName>
    <definedName name="SpecialMeterReading" localSheetId="2">[1]Attach17!$F$37</definedName>
    <definedName name="SpecialMeterReading">Attach17!$F$37</definedName>
    <definedName name="TestYear" localSheetId="4">[1]Data!$H$3</definedName>
    <definedName name="TestYear" localSheetId="3">[1]Data!$H$3</definedName>
    <definedName name="TestYear" localSheetId="2">[1]Data!$H$3</definedName>
    <definedName name="TestYear">Data!$H$3</definedName>
    <definedName name="TestYearMatSup" localSheetId="4">[1]Attach13!$L$36</definedName>
    <definedName name="TestYearMatSup" localSheetId="3">[1]Attach13!$L$36</definedName>
    <definedName name="TestYearMatSup" localSheetId="2">[1]Attach13!$L$36</definedName>
    <definedName name="TestYearMatSup">Attach13!$L$36</definedName>
    <definedName name="TestYearTotalPlant" localSheetId="4">[1]Attach11!$N$92</definedName>
    <definedName name="TestYearTotalPlant" localSheetId="3">[1]Attach11!$N$92</definedName>
    <definedName name="TestYearTotalPlant" localSheetId="2">[1]Attach11!$N$92</definedName>
    <definedName name="TestYearTotalPlant">Attach11!$N$92</definedName>
    <definedName name="TestYearTotDep" localSheetId="4">[1]Attach13!$L$26</definedName>
    <definedName name="TestYearTotDep" localSheetId="3">[1]Attach13!$L$26</definedName>
    <definedName name="TestYearTotDep" localSheetId="2">[1]Attach13!$L$26</definedName>
    <definedName name="TestYearTotDep">Attach13!$L$26</definedName>
    <definedName name="TestYearTotRegLiability" localSheetId="4">[1]Attach13!$L$43</definedName>
    <definedName name="TestYearTotRegLiability" localSheetId="3">[1]Attach13!$L$43</definedName>
    <definedName name="TestYearTotRegLiability" localSheetId="2">[1]Attach13!$L$43</definedName>
    <definedName name="TestYearTotRegLiability">Attach13!$L$43</definedName>
    <definedName name="TransmissionDist" localSheetId="23">Attach11!$D$64:$D$71,Attach11!$E$64:$F$71,Attach11!$I$64:$L$71</definedName>
    <definedName name="UtilID">Data!$H$2</definedName>
    <definedName name="Utility" localSheetId="4">[1]Data!$H$1</definedName>
    <definedName name="Utility" localSheetId="38">Edit_Checks!#REF!</definedName>
    <definedName name="Utility" localSheetId="3">[1]Data!$H$1</definedName>
    <definedName name="Utility" localSheetId="2">[1]Data!$H$1</definedName>
    <definedName name="Utility">Data!$H$1</definedName>
    <definedName name="VolumeRates">Attach3A!$E$23:$E$27</definedName>
    <definedName name="WaterService" localSheetId="4">[1]Attach17!$C$24</definedName>
    <definedName name="WaterService" localSheetId="3">[1]Attach17!$C$24</definedName>
    <definedName name="WaterService" localSheetId="2">[1]Attach17!$C$24</definedName>
    <definedName name="WaterService">Attach17!$C$24</definedName>
    <definedName name="WholesaleTY">Attach3W!$F$22:$K$38</definedName>
    <definedName name="wrn.Class._.C._.Example._.Attachments." localSheetId="20" hidden="1">{#N/A,#N/A,FALSE,"AttachC2 &amp; 3";#N/A,#N/A,FALSE,"AttachC4";#N/A,#N/A,FALSE,"AttachC5";#N/A,#N/A,FALSE,"AttachC6,pg1";#N/A,#N/A,FALSE,"AttachC6,pg2";#N/A,#N/A,FALSE,"AttachC8";#N/A,#N/A,FALSE,"AttachC9";#N/A,#N/A,FALSE,"AttachC10"}</definedName>
    <definedName name="wrn.Class._.C._.Example._.Attachments." localSheetId="21" hidden="1">{#N/A,#N/A,FALSE,"AttachC2 &amp; 3";#N/A,#N/A,FALSE,"AttachC4";#N/A,#N/A,FALSE,"AttachC5";#N/A,#N/A,FALSE,"AttachC6,pg1";#N/A,#N/A,FALSE,"AttachC6,pg2";#N/A,#N/A,FALSE,"AttachC8";#N/A,#N/A,FALSE,"AttachC9";#N/A,#N/A,FALSE,"AttachC10"}</definedName>
    <definedName name="wrn.Class._.C._.Example._.Attachments." localSheetId="22" hidden="1">{#N/A,#N/A,FALSE,"AttachC2 &amp; 3";#N/A,#N/A,FALSE,"AttachC4";#N/A,#N/A,FALSE,"AttachC5";#N/A,#N/A,FALSE,"AttachC6,pg1";#N/A,#N/A,FALSE,"AttachC6,pg2";#N/A,#N/A,FALSE,"AttachC8";#N/A,#N/A,FALSE,"AttachC9";#N/A,#N/A,FALSE,"AttachC10"}</definedName>
    <definedName name="wrn.Class._.C._.Example._.Attachments." localSheetId="25" hidden="1">{#N/A,#N/A,FALSE,"AttachC2 &amp; 3";#N/A,#N/A,FALSE,"AttachC4";#N/A,#N/A,FALSE,"AttachC5";#N/A,#N/A,FALSE,"AttachC6,pg1";#N/A,#N/A,FALSE,"AttachC6,pg2";#N/A,#N/A,FALSE,"AttachC8";#N/A,#N/A,FALSE,"AttachC9";#N/A,#N/A,FALSE,"AttachC10"}</definedName>
    <definedName name="wrn.Class._.C._.Example._.Attachments." localSheetId="28" hidden="1">{#N/A,#N/A,FALSE,"AttachC2 &amp; 3";#N/A,#N/A,FALSE,"AttachC4";#N/A,#N/A,FALSE,"AttachC5";#N/A,#N/A,FALSE,"AttachC6,pg1";#N/A,#N/A,FALSE,"AttachC6,pg2";#N/A,#N/A,FALSE,"AttachC8";#N/A,#N/A,FALSE,"AttachC9";#N/A,#N/A,FALSE,"AttachC10"}</definedName>
    <definedName name="wrn.Class._.C._.Example._.Attachments." localSheetId="30" hidden="1">{#N/A,#N/A,FALSE,"AttachC2 &amp; 3";#N/A,#N/A,FALSE,"AttachC4";#N/A,#N/A,FALSE,"AttachC5";#N/A,#N/A,FALSE,"AttachC6,pg1";#N/A,#N/A,FALSE,"AttachC6,pg2";#N/A,#N/A,FALSE,"AttachC8";#N/A,#N/A,FALSE,"AttachC9";#N/A,#N/A,FALSE,"AttachC10"}</definedName>
    <definedName name="wrn.Class._.C._.Example._.Attachments." localSheetId="32" hidden="1">{#N/A,#N/A,FALSE,"AttachC2 &amp; 3";#N/A,#N/A,FALSE,"AttachC4";#N/A,#N/A,FALSE,"AttachC5";#N/A,#N/A,FALSE,"AttachC6,pg1";#N/A,#N/A,FALSE,"AttachC6,pg2";#N/A,#N/A,FALSE,"AttachC8";#N/A,#N/A,FALSE,"AttachC9";#N/A,#N/A,FALSE,"AttachC10"}</definedName>
    <definedName name="wrn.Class._.C._.Example._.Attachments." localSheetId="35" hidden="1">{#N/A,#N/A,FALSE,"AttachC2 &amp; 3";#N/A,#N/A,FALSE,"AttachC4";#N/A,#N/A,FALSE,"AttachC5";#N/A,#N/A,FALSE,"AttachC6,pg1";#N/A,#N/A,FALSE,"AttachC6,pg2";#N/A,#N/A,FALSE,"AttachC8";#N/A,#N/A,FALSE,"AttachC9";#N/A,#N/A,FALSE,"AttachC10"}</definedName>
    <definedName name="wrn.Class._.C._.Example._.Attachments." localSheetId="36" hidden="1">{#N/A,#N/A,FALSE,"AttachC2 &amp; 3";#N/A,#N/A,FALSE,"AttachC4";#N/A,#N/A,FALSE,"AttachC5";#N/A,#N/A,FALSE,"AttachC6,pg1";#N/A,#N/A,FALSE,"AttachC6,pg2";#N/A,#N/A,FALSE,"AttachC8";#N/A,#N/A,FALSE,"AttachC9";#N/A,#N/A,FALSE,"AttachC10"}</definedName>
    <definedName name="wrn.Class._.C._.Example._.Attachments." localSheetId="37" hidden="1">{#N/A,#N/A,FALSE,"AttachC2 &amp; 3";#N/A,#N/A,FALSE,"AttachC4";#N/A,#N/A,FALSE,"AttachC5";#N/A,#N/A,FALSE,"AttachC6,pg1";#N/A,#N/A,FALSE,"AttachC6,pg2";#N/A,#N/A,FALSE,"AttachC8";#N/A,#N/A,FALSE,"AttachC9";#N/A,#N/A,FALSE,"AttachC10"}</definedName>
    <definedName name="wrn.Class._.C._.Example._.Attachments." localSheetId="9" hidden="1">{#N/A,#N/A,FALSE,"AttachC2 &amp; 3";#N/A,#N/A,FALSE,"AttachC4";#N/A,#N/A,FALSE,"AttachC5";#N/A,#N/A,FALSE,"AttachC6,pg1";#N/A,#N/A,FALSE,"AttachC6,pg2";#N/A,#N/A,FALSE,"AttachC8";#N/A,#N/A,FALSE,"AttachC9";#N/A,#N/A,FALSE,"AttachC10"}</definedName>
    <definedName name="wrn.Class._.C._.Example._.Attachments." localSheetId="12" hidden="1">{#N/A,#N/A,FALSE,"AttachC2 &amp; 3";#N/A,#N/A,FALSE,"AttachC4";#N/A,#N/A,FALSE,"AttachC5";#N/A,#N/A,FALSE,"AttachC6,pg1";#N/A,#N/A,FALSE,"AttachC6,pg2";#N/A,#N/A,FALSE,"AttachC8";#N/A,#N/A,FALSE,"AttachC9";#N/A,#N/A,FALSE,"AttachC10"}</definedName>
    <definedName name="wrn.Class._.C._.Example._.Attachments." localSheetId="19" hidden="1">{#N/A,#N/A,FALSE,"AttachC2 &amp; 3";#N/A,#N/A,FALSE,"AttachC4";#N/A,#N/A,FALSE,"AttachC5";#N/A,#N/A,FALSE,"AttachC6,pg1";#N/A,#N/A,FALSE,"AttachC6,pg2";#N/A,#N/A,FALSE,"AttachC8";#N/A,#N/A,FALSE,"AttachC9";#N/A,#N/A,FALSE,"AttachC10"}</definedName>
    <definedName name="wrn.Class._.C._.Example._.Attachments." localSheetId="4" hidden="1">{#N/A,#N/A,FALSE,"AttachC2 &amp; 3";#N/A,#N/A,FALSE,"AttachC4";#N/A,#N/A,FALSE,"AttachC5";#N/A,#N/A,FALSE,"AttachC6,pg1";#N/A,#N/A,FALSE,"AttachC6,pg2";#N/A,#N/A,FALSE,"AttachC8";#N/A,#N/A,FALSE,"AttachC9";#N/A,#N/A,FALSE,"AttachC10"}</definedName>
    <definedName name="wrn.Class._.C._.Example._.Attachments." localSheetId="38" hidden="1">{#N/A,#N/A,FALSE,"AttachC2 &amp; 3";#N/A,#N/A,FALSE,"AttachC4";#N/A,#N/A,FALSE,"AttachC5";#N/A,#N/A,FALSE,"AttachC6,pg1";#N/A,#N/A,FALSE,"AttachC6,pg2";#N/A,#N/A,FALSE,"AttachC8";#N/A,#N/A,FALSE,"AttachC9";#N/A,#N/A,FALSE,"AttachC10"}</definedName>
    <definedName name="wrn.Class._.C._.Example._.Attachments." localSheetId="6" hidden="1">{#N/A,#N/A,FALSE,"AttachC2 &amp; 3";#N/A,#N/A,FALSE,"AttachC4";#N/A,#N/A,FALSE,"AttachC5";#N/A,#N/A,FALSE,"AttachC6,pg1";#N/A,#N/A,FALSE,"AttachC6,pg2";#N/A,#N/A,FALSE,"AttachC8";#N/A,#N/A,FALSE,"AttachC9";#N/A,#N/A,FALSE,"AttachC10"}</definedName>
    <definedName name="wrn.Class._.C._.Example._.Attachments." localSheetId="3" hidden="1">{#N/A,#N/A,FALSE,"AttachC2 &amp; 3";#N/A,#N/A,FALSE,"AttachC4";#N/A,#N/A,FALSE,"AttachC5";#N/A,#N/A,FALSE,"AttachC6,pg1";#N/A,#N/A,FALSE,"AttachC6,pg2";#N/A,#N/A,FALSE,"AttachC8";#N/A,#N/A,FALSE,"AttachC9";#N/A,#N/A,FALSE,"AttachC10"}</definedName>
    <definedName name="wrn.Class._.C._.Example._.Attachments." localSheetId="2" hidden="1">{#N/A,#N/A,FALSE,"AttachC2 &amp; 3";#N/A,#N/A,FALSE,"AttachC4";#N/A,#N/A,FALSE,"AttachC5";#N/A,#N/A,FALSE,"AttachC6,pg1";#N/A,#N/A,FALSE,"AttachC6,pg2";#N/A,#N/A,FALSE,"AttachC8";#N/A,#N/A,FALSE,"AttachC9";#N/A,#N/A,FALSE,"AttachC10"}</definedName>
    <definedName name="wrn.Class._.C._.Example._.Attachments." localSheetId="0" hidden="1">{#N/A,#N/A,FALSE,"AttachC2 &amp; 3";#N/A,#N/A,FALSE,"AttachC4";#N/A,#N/A,FALSE,"AttachC5";#N/A,#N/A,FALSE,"AttachC6,pg1";#N/A,#N/A,FALSE,"AttachC6,pg2";#N/A,#N/A,FALSE,"AttachC8";#N/A,#N/A,FALSE,"AttachC9";#N/A,#N/A,FALSE,"AttachC10"}</definedName>
    <definedName name="wrn.Class._.C._.Example._.Attachments." hidden="1">{#N/A,#N/A,FALSE,"AttachC2 &amp; 3";#N/A,#N/A,FALSE,"AttachC4";#N/A,#N/A,FALSE,"AttachC5";#N/A,#N/A,FALSE,"AttachC6,pg1";#N/A,#N/A,FALSE,"AttachC6,pg2";#N/A,#N/A,FALSE,"AttachC8";#N/A,#N/A,FALSE,"AttachC9";#N/A,#N/A,FALSE,"AttachC10"}</definedName>
    <definedName name="wrn.Class._.D._.Attachment._.Examples." localSheetId="20" hidden="1">{#N/A,#N/A,FALSE,"AttachD2 &amp; 3";#N/A,#N/A,FALSE,"AttachD4";#N/A,#N/A,FALSE,"AttachD5";#N/A,#N/A,FALSE,"AttachD6,pg1";#N/A,#N/A,FALSE,"AttachD6,pg2";#N/A,#N/A,FALSE,"AttachD7";#N/A,#N/A,FALSE,"AttachD8";#N/A,#N/A,FALSE,"AttachD9";#N/A,#N/A,FALSE,"AttachD10"}</definedName>
    <definedName name="wrn.Class._.D._.Attachment._.Examples." localSheetId="21" hidden="1">{#N/A,#N/A,FALSE,"AttachD2 &amp; 3";#N/A,#N/A,FALSE,"AttachD4";#N/A,#N/A,FALSE,"AttachD5";#N/A,#N/A,FALSE,"AttachD6,pg1";#N/A,#N/A,FALSE,"AttachD6,pg2";#N/A,#N/A,FALSE,"AttachD7";#N/A,#N/A,FALSE,"AttachD8";#N/A,#N/A,FALSE,"AttachD9";#N/A,#N/A,FALSE,"AttachD10"}</definedName>
    <definedName name="wrn.Class._.D._.Attachment._.Examples." localSheetId="22" hidden="1">{#N/A,#N/A,FALSE,"AttachD2 &amp; 3";#N/A,#N/A,FALSE,"AttachD4";#N/A,#N/A,FALSE,"AttachD5";#N/A,#N/A,FALSE,"AttachD6,pg1";#N/A,#N/A,FALSE,"AttachD6,pg2";#N/A,#N/A,FALSE,"AttachD7";#N/A,#N/A,FALSE,"AttachD8";#N/A,#N/A,FALSE,"AttachD9";#N/A,#N/A,FALSE,"AttachD10"}</definedName>
    <definedName name="wrn.Class._.D._.Attachment._.Examples." localSheetId="28" hidden="1">{#N/A,#N/A,FALSE,"AttachD2 &amp; 3";#N/A,#N/A,FALSE,"AttachD4";#N/A,#N/A,FALSE,"AttachD5";#N/A,#N/A,FALSE,"AttachD6,pg1";#N/A,#N/A,FALSE,"AttachD6,pg2";#N/A,#N/A,FALSE,"AttachD7";#N/A,#N/A,FALSE,"AttachD8";#N/A,#N/A,FALSE,"AttachD9";#N/A,#N/A,FALSE,"AttachD10"}</definedName>
    <definedName name="wrn.Class._.D._.Attachment._.Examples." localSheetId="30" hidden="1">{#N/A,#N/A,FALSE,"AttachD2 &amp; 3";#N/A,#N/A,FALSE,"AttachD4";#N/A,#N/A,FALSE,"AttachD5";#N/A,#N/A,FALSE,"AttachD6,pg1";#N/A,#N/A,FALSE,"AttachD6,pg2";#N/A,#N/A,FALSE,"AttachD7";#N/A,#N/A,FALSE,"AttachD8";#N/A,#N/A,FALSE,"AttachD9";#N/A,#N/A,FALSE,"AttachD10"}</definedName>
    <definedName name="wrn.Class._.D._.Attachment._.Examples." localSheetId="32" hidden="1">{#N/A,#N/A,FALSE,"AttachD2 &amp; 3";#N/A,#N/A,FALSE,"AttachD4";#N/A,#N/A,FALSE,"AttachD5";#N/A,#N/A,FALSE,"AttachD6,pg1";#N/A,#N/A,FALSE,"AttachD6,pg2";#N/A,#N/A,FALSE,"AttachD7";#N/A,#N/A,FALSE,"AttachD8";#N/A,#N/A,FALSE,"AttachD9";#N/A,#N/A,FALSE,"AttachD10"}</definedName>
    <definedName name="wrn.Class._.D._.Attachment._.Examples." localSheetId="35" hidden="1">{#N/A,#N/A,FALSE,"AttachD2 &amp; 3";#N/A,#N/A,FALSE,"AttachD4";#N/A,#N/A,FALSE,"AttachD5";#N/A,#N/A,FALSE,"AttachD6,pg1";#N/A,#N/A,FALSE,"AttachD6,pg2";#N/A,#N/A,FALSE,"AttachD7";#N/A,#N/A,FALSE,"AttachD8";#N/A,#N/A,FALSE,"AttachD9";#N/A,#N/A,FALSE,"AttachD10"}</definedName>
    <definedName name="wrn.Class._.D._.Attachment._.Examples." localSheetId="36" hidden="1">{#N/A,#N/A,FALSE,"AttachD2 &amp; 3";#N/A,#N/A,FALSE,"AttachD4";#N/A,#N/A,FALSE,"AttachD5";#N/A,#N/A,FALSE,"AttachD6,pg1";#N/A,#N/A,FALSE,"AttachD6,pg2";#N/A,#N/A,FALSE,"AttachD7";#N/A,#N/A,FALSE,"AttachD8";#N/A,#N/A,FALSE,"AttachD9";#N/A,#N/A,FALSE,"AttachD10"}</definedName>
    <definedName name="wrn.Class._.D._.Attachment._.Examples." localSheetId="37" hidden="1">{#N/A,#N/A,FALSE,"AttachD2 &amp; 3";#N/A,#N/A,FALSE,"AttachD4";#N/A,#N/A,FALSE,"AttachD5";#N/A,#N/A,FALSE,"AttachD6,pg1";#N/A,#N/A,FALSE,"AttachD6,pg2";#N/A,#N/A,FALSE,"AttachD7";#N/A,#N/A,FALSE,"AttachD8";#N/A,#N/A,FALSE,"AttachD9";#N/A,#N/A,FALSE,"AttachD10"}</definedName>
    <definedName name="wrn.Class._.D._.Attachment._.Examples." localSheetId="19" hidden="1">{#N/A,#N/A,FALSE,"AttachD2 &amp; 3";#N/A,#N/A,FALSE,"AttachD4";#N/A,#N/A,FALSE,"AttachD5";#N/A,#N/A,FALSE,"AttachD6,pg1";#N/A,#N/A,FALSE,"AttachD6,pg2";#N/A,#N/A,FALSE,"AttachD7";#N/A,#N/A,FALSE,"AttachD8";#N/A,#N/A,FALSE,"AttachD9";#N/A,#N/A,FALSE,"AttachD10"}</definedName>
    <definedName name="wrn.Class._.D._.Attachment._.Examples." localSheetId="4" hidden="1">{#N/A,#N/A,FALSE,"AttachD2 &amp; 3";#N/A,#N/A,FALSE,"AttachD4";#N/A,#N/A,FALSE,"AttachD5";#N/A,#N/A,FALSE,"AttachD6,pg1";#N/A,#N/A,FALSE,"AttachD6,pg2";#N/A,#N/A,FALSE,"AttachD7";#N/A,#N/A,FALSE,"AttachD8";#N/A,#N/A,FALSE,"AttachD9";#N/A,#N/A,FALSE,"AttachD10"}</definedName>
    <definedName name="wrn.Class._.D._.Attachment._.Examples." localSheetId="38" hidden="1">{#N/A,#N/A,FALSE,"AttachD2 &amp; 3";#N/A,#N/A,FALSE,"AttachD4";#N/A,#N/A,FALSE,"AttachD5";#N/A,#N/A,FALSE,"AttachD6,pg1";#N/A,#N/A,FALSE,"AttachD6,pg2";#N/A,#N/A,FALSE,"AttachD7";#N/A,#N/A,FALSE,"AttachD8";#N/A,#N/A,FALSE,"AttachD9";#N/A,#N/A,FALSE,"AttachD10"}</definedName>
    <definedName name="wrn.Class._.D._.Attachment._.Examples." localSheetId="6" hidden="1">{#N/A,#N/A,FALSE,"AttachD2 &amp; 3";#N/A,#N/A,FALSE,"AttachD4";#N/A,#N/A,FALSE,"AttachD5";#N/A,#N/A,FALSE,"AttachD6,pg1";#N/A,#N/A,FALSE,"AttachD6,pg2";#N/A,#N/A,FALSE,"AttachD7";#N/A,#N/A,FALSE,"AttachD8";#N/A,#N/A,FALSE,"AttachD9";#N/A,#N/A,FALSE,"AttachD10"}</definedName>
    <definedName name="wrn.Class._.D._.Attachment._.Examples." localSheetId="3" hidden="1">{#N/A,#N/A,FALSE,"AttachD2 &amp; 3";#N/A,#N/A,FALSE,"AttachD4";#N/A,#N/A,FALSE,"AttachD5";#N/A,#N/A,FALSE,"AttachD6,pg1";#N/A,#N/A,FALSE,"AttachD6,pg2";#N/A,#N/A,FALSE,"AttachD7";#N/A,#N/A,FALSE,"AttachD8";#N/A,#N/A,FALSE,"AttachD9";#N/A,#N/A,FALSE,"AttachD10"}</definedName>
    <definedName name="wrn.Class._.D._.Attachment._.Examples." localSheetId="2" hidden="1">{#N/A,#N/A,FALSE,"AttachD2 &amp; 3";#N/A,#N/A,FALSE,"AttachD4";#N/A,#N/A,FALSE,"AttachD5";#N/A,#N/A,FALSE,"AttachD6,pg1";#N/A,#N/A,FALSE,"AttachD6,pg2";#N/A,#N/A,FALSE,"AttachD7";#N/A,#N/A,FALSE,"AttachD8";#N/A,#N/A,FALSE,"AttachD9";#N/A,#N/A,FALSE,"AttachD10"}</definedName>
    <definedName name="wrn.Class._.D._.Attachment._.Examples." localSheetId="0" hidden="1">{#N/A,#N/A,FALSE,"AttachD2 &amp; 3";#N/A,#N/A,FALSE,"AttachD4";#N/A,#N/A,FALSE,"AttachD5";#N/A,#N/A,FALSE,"AttachD6,pg1";#N/A,#N/A,FALSE,"AttachD6,pg2";#N/A,#N/A,FALSE,"AttachD7";#N/A,#N/A,FALSE,"AttachD8";#N/A,#N/A,FALSE,"AttachD9";#N/A,#N/A,FALSE,"AttachD10"}</definedName>
    <definedName name="wrn.Class._.D._.Attachment._.Examples." hidden="1">{#N/A,#N/A,FALSE,"AttachD2 &amp; 3";#N/A,#N/A,FALSE,"AttachD4";#N/A,#N/A,FALSE,"AttachD5";#N/A,#N/A,FALSE,"AttachD6,pg1";#N/A,#N/A,FALSE,"AttachD6,pg2";#N/A,#N/A,FALSE,"AttachD7";#N/A,#N/A,FALSE,"AttachD8";#N/A,#N/A,FALSE,"AttachD9";#N/A,#N/A,FALSE,"AttachD10"}</definedName>
    <definedName name="Z_B63065A1_7838_417A_8679_08A8A2B79CD8_.wvu.Cols" localSheetId="6" hidden="1">Hearing!$M:$M</definedName>
    <definedName name="Z_B63065A1_7838_417A_8679_08A8A2B79CD8_.wvu.PrintArea" localSheetId="7" hidden="1">Attach1!$A$1:$K$86</definedName>
    <definedName name="Z_B63065A1_7838_417A_8679_08A8A2B79CD8_.wvu.PrintArea" localSheetId="20" hidden="1">Attach10_AB!$A$1:$L$116</definedName>
    <definedName name="Z_B63065A1_7838_417A_8679_08A8A2B79CD8_.wvu.PrintArea" localSheetId="21" hidden="1">Attach10_C!$A$1:$K$94</definedName>
    <definedName name="Z_B63065A1_7838_417A_8679_08A8A2B79CD8_.wvu.PrintArea" localSheetId="22" hidden="1">Attach10_D!$A$1:$L$49</definedName>
    <definedName name="Z_B63065A1_7838_417A_8679_08A8A2B79CD8_.wvu.PrintArea" localSheetId="23" hidden="1">Attach11!$A$1:$P$114</definedName>
    <definedName name="Z_B63065A1_7838_417A_8679_08A8A2B79CD8_.wvu.PrintArea" localSheetId="24" hidden="1">Attach11a!$A$1:$O$119</definedName>
    <definedName name="Z_B63065A1_7838_417A_8679_08A8A2B79CD8_.wvu.PrintArea" localSheetId="25" hidden="1">Attach12!$A$1:$P$124</definedName>
    <definedName name="Z_B63065A1_7838_417A_8679_08A8A2B79CD8_.wvu.PrintArea" localSheetId="26" hidden="1">Attach13!$A$1:$N$46</definedName>
    <definedName name="Z_B63065A1_7838_417A_8679_08A8A2B79CD8_.wvu.PrintArea" localSheetId="27" hidden="1">Attach14!$A$1:$J$65</definedName>
    <definedName name="Z_B63065A1_7838_417A_8679_08A8A2B79CD8_.wvu.PrintArea" localSheetId="28" hidden="1">Attach15!$A$1:$K$73</definedName>
    <definedName name="Z_B63065A1_7838_417A_8679_08A8A2B79CD8_.wvu.PrintArea" localSheetId="29" hidden="1">Attach16!$A$1:$K$36</definedName>
    <definedName name="Z_B63065A1_7838_417A_8679_08A8A2B79CD8_.wvu.PrintArea" localSheetId="30" hidden="1">Attach17!$A$1:$M$150</definedName>
    <definedName name="Z_B63065A1_7838_417A_8679_08A8A2B79CD8_.wvu.PrintArea" localSheetId="31" hidden="1">Attach18!$A$1:$I$58</definedName>
    <definedName name="Z_B63065A1_7838_417A_8679_08A8A2B79CD8_.wvu.PrintArea" localSheetId="32" hidden="1">Attach19!$A$1:$L$11</definedName>
    <definedName name="Z_B63065A1_7838_417A_8679_08A8A2B79CD8_.wvu.PrintArea" localSheetId="35" hidden="1">Attach20!$A$1:$N$84</definedName>
    <definedName name="Z_B63065A1_7838_417A_8679_08A8A2B79CD8_.wvu.PrintArea" localSheetId="36" hidden="1">Attach21!$A$1:$K$60</definedName>
    <definedName name="Z_B63065A1_7838_417A_8679_08A8A2B79CD8_.wvu.PrintArea" localSheetId="37" hidden="1">Attach22!$A$1:$N$46</definedName>
    <definedName name="Z_B63065A1_7838_417A_8679_08A8A2B79CD8_.wvu.PrintArea" localSheetId="8" hidden="1">Attach2A!$A$1:$M$51</definedName>
    <definedName name="Z_B63065A1_7838_417A_8679_08A8A2B79CD8_.wvu.PrintArea" localSheetId="9" hidden="1">Attach2B!$A$1:$O$67</definedName>
    <definedName name="Z_B63065A1_7838_417A_8679_08A8A2B79CD8_.wvu.PrintArea" localSheetId="11" hidden="1">Attach3A!$A$1:$M$69</definedName>
    <definedName name="Z_B63065A1_7838_417A_8679_08A8A2B79CD8_.wvu.PrintArea" localSheetId="12" hidden="1">Attach3B!$A$1:$O$68</definedName>
    <definedName name="Z_B63065A1_7838_417A_8679_08A8A2B79CD8_.wvu.PrintArea" localSheetId="13" hidden="1">Attach3W!$A$1:$M$56</definedName>
    <definedName name="Z_B63065A1_7838_417A_8679_08A8A2B79CD8_.wvu.PrintArea" localSheetId="14" hidden="1">Attach4!$A$1:$J$64</definedName>
    <definedName name="Z_B63065A1_7838_417A_8679_08A8A2B79CD8_.wvu.PrintArea" localSheetId="15" hidden="1">Attach5!$A$1:$L$96</definedName>
    <definedName name="Z_B63065A1_7838_417A_8679_08A8A2B79CD8_.wvu.PrintArea" localSheetId="16" hidden="1">Attach6!$A$1:$J$64</definedName>
    <definedName name="Z_B63065A1_7838_417A_8679_08A8A2B79CD8_.wvu.PrintArea" localSheetId="17" hidden="1">Attach7!$A$1:$J$75</definedName>
    <definedName name="Z_B63065A1_7838_417A_8679_08A8A2B79CD8_.wvu.PrintArea" localSheetId="18" hidden="1">Attach8!$A$1:$K$56</definedName>
    <definedName name="Z_B63065A1_7838_417A_8679_08A8A2B79CD8_.wvu.PrintArea" localSheetId="19" hidden="1">Attach9!$A$1:$K$92</definedName>
    <definedName name="Z_B63065A1_7838_417A_8679_08A8A2B79CD8_.wvu.PrintArea" localSheetId="4" hidden="1">Contact_Info!$A$1:$D$24</definedName>
    <definedName name="Z_B63065A1_7838_417A_8679_08A8A2B79CD8_.wvu.PrintArea" localSheetId="6" hidden="1">Hearing!$A$1:$Q$30</definedName>
    <definedName name="Z_B63065A1_7838_417A_8679_08A8A2B79CD8_.wvu.PrintArea" localSheetId="3" hidden="1">Instructions!$A$1:$E$301</definedName>
    <definedName name="Z_B63065A1_7838_417A_8679_08A8A2B79CD8_.wvu.PrintArea" localSheetId="2" hidden="1">Main_Menu!$A$1:$E$39</definedName>
    <definedName name="Z_B63065A1_7838_417A_8679_08A8A2B79CD8_.wvu.Rows" localSheetId="25" hidden="1">Attach12!$72:$72</definedName>
    <definedName name="Z_B63065A1_7838_417A_8679_08A8A2B79CD8_.wvu.Rows" localSheetId="38" hidden="1">Edit_Checks!$14:$14</definedName>
    <definedName name="Z_B63065A1_7838_417A_8679_08A8A2B79CD8_.wvu.Rows" localSheetId="6" hidden="1">Hearing!$26:$26</definedName>
  </definedNames>
  <calcPr calcId="191029" fullCalcOnLoad="1"/>
  <customWorkbookViews>
    <customWorkbookView name="Shannon, Sam  PSC - Personal View" guid="{B63065A1-7838-417A-8679-08A8A2B79CD8}" mergeInterval="0" personalView="1" maximized="1" xWindow="1912" yWindow="-8" windowWidth="1936" windowHeight="1056" tabRatio="75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 i="9" l="1"/>
  <c r="G41" i="9"/>
  <c r="E35" i="8"/>
  <c r="E34" i="8"/>
  <c r="H38" i="8"/>
  <c r="H35" i="8"/>
  <c r="H48" i="8"/>
  <c r="K35" i="9"/>
  <c r="K39" i="9"/>
  <c r="H34" i="8"/>
  <c r="H47" i="8"/>
  <c r="G35" i="8"/>
  <c r="G34" i="8"/>
  <c r="F35" i="8"/>
  <c r="F34" i="8"/>
  <c r="F48" i="8"/>
  <c r="D35" i="8"/>
  <c r="D34" i="8"/>
  <c r="L68" i="23"/>
  <c r="L70" i="23"/>
  <c r="L67" i="23"/>
  <c r="K67" i="23"/>
  <c r="G66" i="25"/>
  <c r="G37" i="17"/>
  <c r="I50" i="28"/>
  <c r="G50" i="28"/>
  <c r="G49" i="28"/>
  <c r="G67" i="28"/>
  <c r="I49" i="28"/>
  <c r="E49" i="28"/>
  <c r="D49" i="28"/>
  <c r="D67" i="28"/>
  <c r="F24" i="28"/>
  <c r="J18" i="26"/>
  <c r="K73" i="23"/>
  <c r="K92" i="23"/>
  <c r="H26" i="28"/>
  <c r="H28" i="28"/>
  <c r="E17" i="23"/>
  <c r="I32" i="18"/>
  <c r="I39" i="18"/>
  <c r="H19" i="27"/>
  <c r="F16" i="34"/>
  <c r="H16" i="34"/>
  <c r="H32" i="18"/>
  <c r="I59" i="19"/>
  <c r="I55" i="19"/>
  <c r="I53" i="19"/>
  <c r="I54" i="19"/>
  <c r="I64" i="19"/>
  <c r="I52" i="19"/>
  <c r="G47" i="17"/>
  <c r="G28" i="17"/>
  <c r="G38" i="17"/>
  <c r="D30" i="10"/>
  <c r="D48" i="8"/>
  <c r="G35" i="9"/>
  <c r="G39" i="9"/>
  <c r="J47" i="10"/>
  <c r="J29" i="10"/>
  <c r="D29" i="10"/>
  <c r="J11" i="10"/>
  <c r="D11" i="10"/>
  <c r="C11" i="45"/>
  <c r="E34" i="11"/>
  <c r="C47" i="11"/>
  <c r="G14" i="11"/>
  <c r="G11" i="22"/>
  <c r="J11" i="22"/>
  <c r="I11" i="22"/>
  <c r="C2" i="33"/>
  <c r="C8" i="26"/>
  <c r="C7" i="26"/>
  <c r="C6" i="26"/>
  <c r="F19" i="11"/>
  <c r="F29" i="11"/>
  <c r="H16" i="8"/>
  <c r="F17" i="8"/>
  <c r="G17" i="8"/>
  <c r="F59" i="7"/>
  <c r="E62" i="7"/>
  <c r="B1" i="35"/>
  <c r="B5" i="34"/>
  <c r="D2" i="39"/>
  <c r="D3" i="39"/>
  <c r="B4" i="39"/>
  <c r="B4" i="37"/>
  <c r="B6" i="30"/>
  <c r="B5" i="28"/>
  <c r="C4" i="26"/>
  <c r="B5" i="26"/>
  <c r="C7" i="25"/>
  <c r="C6" i="25"/>
  <c r="I10" i="20"/>
  <c r="I63" i="20"/>
  <c r="H27" i="19"/>
  <c r="C5" i="15"/>
  <c r="C7" i="15"/>
  <c r="B8" i="15"/>
  <c r="D3" i="14"/>
  <c r="B6" i="14"/>
  <c r="C3" i="13"/>
  <c r="B5" i="13"/>
  <c r="I3" i="12"/>
  <c r="B5" i="12"/>
  <c r="D3" i="11"/>
  <c r="B5" i="11"/>
  <c r="B2" i="10"/>
  <c r="B5" i="6"/>
  <c r="B4" i="40"/>
  <c r="B4" i="9"/>
  <c r="C13" i="8"/>
  <c r="E14" i="8"/>
  <c r="H14" i="8"/>
  <c r="E21" i="41"/>
  <c r="C1" i="19"/>
  <c r="I12" i="23"/>
  <c r="I59" i="23"/>
  <c r="H14" i="23"/>
  <c r="H61" i="23"/>
  <c r="M14" i="23"/>
  <c r="M62" i="23"/>
  <c r="E13" i="23"/>
  <c r="E59" i="23"/>
  <c r="C44" i="10"/>
  <c r="D44" i="10"/>
  <c r="C45" i="10"/>
  <c r="D45" i="10"/>
  <c r="C46" i="10"/>
  <c r="D46" i="10"/>
  <c r="C47" i="10"/>
  <c r="C55" i="10"/>
  <c r="D47" i="10"/>
  <c r="C48" i="10"/>
  <c r="D48" i="10"/>
  <c r="D43" i="10"/>
  <c r="C43" i="10"/>
  <c r="C26" i="10"/>
  <c r="D26" i="10"/>
  <c r="C27" i="10"/>
  <c r="D27" i="10"/>
  <c r="C28" i="10"/>
  <c r="D28" i="10"/>
  <c r="C29" i="10"/>
  <c r="C37" i="10"/>
  <c r="D37" i="10"/>
  <c r="C30" i="10"/>
  <c r="D25" i="10"/>
  <c r="C25" i="10"/>
  <c r="E25" i="11"/>
  <c r="D3" i="37"/>
  <c r="K22" i="37"/>
  <c r="K45" i="30"/>
  <c r="J45" i="30"/>
  <c r="I45" i="30"/>
  <c r="C2" i="34"/>
  <c r="G47" i="8"/>
  <c r="F47" i="8"/>
  <c r="H52" i="11"/>
  <c r="K30" i="10"/>
  <c r="L30" i="10"/>
  <c r="G52" i="11"/>
  <c r="K48" i="10"/>
  <c r="L48" i="10"/>
  <c r="F52" i="11"/>
  <c r="K12" i="10"/>
  <c r="L12" i="10"/>
  <c r="E52" i="11"/>
  <c r="E30" i="10"/>
  <c r="F30" i="10"/>
  <c r="D52" i="11"/>
  <c r="E12" i="10"/>
  <c r="F12" i="10"/>
  <c r="C40" i="8"/>
  <c r="C45" i="11"/>
  <c r="D27" i="8"/>
  <c r="C43" i="8"/>
  <c r="D22" i="8"/>
  <c r="C38" i="8"/>
  <c r="C50" i="11"/>
  <c r="D24" i="11"/>
  <c r="E19" i="11"/>
  <c r="E26" i="11"/>
  <c r="E27" i="11"/>
  <c r="E28" i="11"/>
  <c r="E29" i="11"/>
  <c r="E30" i="11"/>
  <c r="E31" i="11"/>
  <c r="E32" i="11"/>
  <c r="E33" i="11"/>
  <c r="I52" i="11"/>
  <c r="J49" i="11"/>
  <c r="J50" i="11"/>
  <c r="J45" i="11"/>
  <c r="J46" i="11"/>
  <c r="J47" i="11"/>
  <c r="J48" i="11"/>
  <c r="J44" i="11"/>
  <c r="J43" i="11"/>
  <c r="J42" i="11"/>
  <c r="J41" i="11"/>
  <c r="J40" i="11"/>
  <c r="J39" i="11"/>
  <c r="D29" i="11"/>
  <c r="D30" i="11"/>
  <c r="D31" i="11"/>
  <c r="D33" i="11"/>
  <c r="D34" i="11"/>
  <c r="D28" i="11"/>
  <c r="E17" i="8"/>
  <c r="C45" i="8"/>
  <c r="C44" i="8"/>
  <c r="C42" i="8"/>
  <c r="C41" i="8"/>
  <c r="C39" i="8"/>
  <c r="C44" i="11"/>
  <c r="I48" i="8"/>
  <c r="L35" i="9"/>
  <c r="G48" i="8"/>
  <c r="J35" i="9"/>
  <c r="J39" i="9"/>
  <c r="J40" i="8"/>
  <c r="J38" i="8"/>
  <c r="J37" i="8"/>
  <c r="J36" i="8"/>
  <c r="J39" i="8"/>
  <c r="J43" i="8"/>
  <c r="J42" i="8"/>
  <c r="J41" i="8"/>
  <c r="J44" i="8"/>
  <c r="J45" i="8"/>
  <c r="I47" i="8"/>
  <c r="C29" i="8"/>
  <c r="C28" i="8"/>
  <c r="C27" i="8"/>
  <c r="C26" i="8"/>
  <c r="C25" i="8"/>
  <c r="C24" i="8"/>
  <c r="C29" i="11"/>
  <c r="C23" i="8"/>
  <c r="C28" i="11"/>
  <c r="H15" i="8"/>
  <c r="C73" i="30"/>
  <c r="C72" i="30"/>
  <c r="C71" i="30"/>
  <c r="C70" i="30"/>
  <c r="C68" i="30"/>
  <c r="C67" i="30"/>
  <c r="D34" i="30"/>
  <c r="E4" i="40"/>
  <c r="H31" i="19"/>
  <c r="C4" i="35"/>
  <c r="F14" i="34"/>
  <c r="H14" i="34"/>
  <c r="H15" i="34"/>
  <c r="C20" i="34"/>
  <c r="F38" i="34"/>
  <c r="H38" i="34"/>
  <c r="H40" i="34"/>
  <c r="C51" i="34"/>
  <c r="B1" i="33"/>
  <c r="C4" i="33"/>
  <c r="K26" i="33"/>
  <c r="K27" i="33"/>
  <c r="K28" i="33"/>
  <c r="K31" i="33"/>
  <c r="G13" i="34"/>
  <c r="G28" i="34"/>
  <c r="K29" i="33"/>
  <c r="K30" i="33"/>
  <c r="G31" i="33"/>
  <c r="G38" i="33"/>
  <c r="G43" i="33"/>
  <c r="H52" i="33"/>
  <c r="B1" i="32"/>
  <c r="C3" i="32"/>
  <c r="B1" i="31"/>
  <c r="B5" i="31"/>
  <c r="C5" i="30"/>
  <c r="E13" i="30"/>
  <c r="J13" i="30"/>
  <c r="F32" i="15"/>
  <c r="E14" i="30"/>
  <c r="J14" i="30"/>
  <c r="F33" i="15"/>
  <c r="E15" i="30"/>
  <c r="J15" i="30"/>
  <c r="F34" i="15"/>
  <c r="E17" i="30"/>
  <c r="J17" i="30"/>
  <c r="H32" i="15"/>
  <c r="H36" i="15"/>
  <c r="H38" i="15"/>
  <c r="H41" i="15"/>
  <c r="E18" i="30"/>
  <c r="E19" i="30"/>
  <c r="J19" i="30"/>
  <c r="H34" i="15"/>
  <c r="E26" i="30"/>
  <c r="H33" i="30"/>
  <c r="D35" i="30"/>
  <c r="H36" i="30"/>
  <c r="H37" i="30"/>
  <c r="H38" i="30"/>
  <c r="J38" i="30"/>
  <c r="H39" i="30"/>
  <c r="F51" i="30"/>
  <c r="F52" i="30"/>
  <c r="C54" i="30"/>
  <c r="G55" i="30"/>
  <c r="B1" i="29"/>
  <c r="F9" i="28"/>
  <c r="F10" i="28"/>
  <c r="H10" i="28"/>
  <c r="D39" i="28"/>
  <c r="F39" i="28"/>
  <c r="H39" i="28"/>
  <c r="G42" i="28"/>
  <c r="I42" i="28"/>
  <c r="E67" i="28"/>
  <c r="F67" i="28"/>
  <c r="H67" i="28"/>
  <c r="B1" i="27"/>
  <c r="C5" i="27"/>
  <c r="C22" i="27"/>
  <c r="D33" i="27"/>
  <c r="D36" i="27"/>
  <c r="H43" i="27"/>
  <c r="H45" i="27"/>
  <c r="C56" i="27"/>
  <c r="G5" i="26"/>
  <c r="C14" i="26"/>
  <c r="F14" i="26"/>
  <c r="G41" i="26"/>
  <c r="K14" i="26"/>
  <c r="J16" i="26"/>
  <c r="K16" i="26"/>
  <c r="K18" i="26"/>
  <c r="K19" i="26"/>
  <c r="C20" i="26"/>
  <c r="K22" i="26"/>
  <c r="L22" i="26"/>
  <c r="K24" i="26"/>
  <c r="L24" i="26"/>
  <c r="C25" i="26"/>
  <c r="D31" i="26"/>
  <c r="I31" i="26"/>
  <c r="F35" i="19"/>
  <c r="D32" i="26"/>
  <c r="I32" i="26"/>
  <c r="G35" i="19"/>
  <c r="D33" i="26"/>
  <c r="I33" i="26"/>
  <c r="H35" i="19"/>
  <c r="D34" i="26"/>
  <c r="I35" i="19"/>
  <c r="D35" i="26"/>
  <c r="L35" i="26"/>
  <c r="D40" i="26"/>
  <c r="I40" i="26"/>
  <c r="K40" i="26"/>
  <c r="D41" i="26"/>
  <c r="K41" i="26"/>
  <c r="L41" i="26"/>
  <c r="D42" i="26"/>
  <c r="G42" i="26"/>
  <c r="K42" i="26"/>
  <c r="L42" i="26"/>
  <c r="B1" i="25"/>
  <c r="B52" i="25"/>
  <c r="B4" i="25"/>
  <c r="E13" i="25"/>
  <c r="E56" i="25"/>
  <c r="J13" i="25"/>
  <c r="J56" i="25"/>
  <c r="E22" i="25"/>
  <c r="K22" i="25"/>
  <c r="M22" i="25"/>
  <c r="K23" i="25"/>
  <c r="M23" i="25"/>
  <c r="E24" i="25"/>
  <c r="K24" i="25"/>
  <c r="M24" i="25"/>
  <c r="K25" i="25"/>
  <c r="M25" i="25"/>
  <c r="E26" i="25"/>
  <c r="K26" i="25"/>
  <c r="M26" i="25"/>
  <c r="E27" i="25"/>
  <c r="K27" i="25"/>
  <c r="M27" i="25"/>
  <c r="K33" i="25"/>
  <c r="M33" i="25"/>
  <c r="K34" i="25"/>
  <c r="K35" i="25"/>
  <c r="M35" i="25"/>
  <c r="E36" i="25"/>
  <c r="K36" i="25"/>
  <c r="M36" i="25"/>
  <c r="K37" i="25"/>
  <c r="M37" i="25"/>
  <c r="E43" i="25"/>
  <c r="H43" i="25"/>
  <c r="K43" i="25"/>
  <c r="M43" i="25"/>
  <c r="E44" i="25"/>
  <c r="K44" i="25"/>
  <c r="M44" i="25"/>
  <c r="E45" i="25"/>
  <c r="K45" i="25"/>
  <c r="M45" i="25"/>
  <c r="K46" i="25"/>
  <c r="M46" i="25"/>
  <c r="P52" i="25"/>
  <c r="B54" i="25"/>
  <c r="E57" i="25"/>
  <c r="J57" i="25"/>
  <c r="E58" i="25"/>
  <c r="G58" i="25"/>
  <c r="H58" i="25"/>
  <c r="J58" i="25"/>
  <c r="K58" i="25"/>
  <c r="M58" i="25"/>
  <c r="O58" i="25"/>
  <c r="E59" i="25"/>
  <c r="G59" i="25"/>
  <c r="H59" i="25"/>
  <c r="J59" i="25"/>
  <c r="K59" i="25"/>
  <c r="L59" i="25"/>
  <c r="M59" i="25"/>
  <c r="N59" i="25"/>
  <c r="O59" i="25"/>
  <c r="E62" i="25"/>
  <c r="H62" i="25"/>
  <c r="K62" i="25"/>
  <c r="M62" i="25"/>
  <c r="K63" i="25"/>
  <c r="M63" i="25"/>
  <c r="K64" i="25"/>
  <c r="K65" i="25"/>
  <c r="M65" i="25"/>
  <c r="K66" i="25"/>
  <c r="M66" i="25"/>
  <c r="K67" i="25"/>
  <c r="M67" i="25"/>
  <c r="E68" i="25"/>
  <c r="K68" i="25"/>
  <c r="M68" i="25"/>
  <c r="K75" i="25"/>
  <c r="M75" i="25"/>
  <c r="K76" i="25"/>
  <c r="M76" i="25"/>
  <c r="K77" i="25"/>
  <c r="M77" i="25"/>
  <c r="K78" i="25"/>
  <c r="M78" i="25"/>
  <c r="E79" i="25"/>
  <c r="K79" i="25"/>
  <c r="M79" i="25"/>
  <c r="K80" i="25"/>
  <c r="M80" i="25"/>
  <c r="E81" i="25"/>
  <c r="K81" i="25"/>
  <c r="M81" i="25"/>
  <c r="E82" i="25"/>
  <c r="K82" i="25"/>
  <c r="M82" i="25"/>
  <c r="K83" i="25"/>
  <c r="M83" i="25"/>
  <c r="E84" i="25"/>
  <c r="K84" i="25"/>
  <c r="M84" i="25"/>
  <c r="K85" i="25"/>
  <c r="M85" i="25"/>
  <c r="C91" i="25"/>
  <c r="N91" i="25"/>
  <c r="G93" i="25"/>
  <c r="N93" i="25"/>
  <c r="K94" i="25"/>
  <c r="B1" i="24"/>
  <c r="B55" i="24"/>
  <c r="D5" i="24"/>
  <c r="D57" i="24"/>
  <c r="H12" i="24"/>
  <c r="H61" i="24"/>
  <c r="I12" i="24"/>
  <c r="I61" i="24"/>
  <c r="K12" i="24"/>
  <c r="E13" i="24"/>
  <c r="E61" i="24"/>
  <c r="D14" i="24"/>
  <c r="D63" i="24"/>
  <c r="H14" i="24"/>
  <c r="H63" i="24"/>
  <c r="M14" i="24"/>
  <c r="M63" i="24"/>
  <c r="D17" i="24"/>
  <c r="H17" i="24"/>
  <c r="E17" i="24"/>
  <c r="F17" i="24"/>
  <c r="D18" i="24"/>
  <c r="E18" i="24"/>
  <c r="F18" i="24"/>
  <c r="D19" i="24"/>
  <c r="E19" i="24"/>
  <c r="F19" i="24"/>
  <c r="G21" i="24"/>
  <c r="G94" i="24"/>
  <c r="I21" i="24"/>
  <c r="I94" i="24"/>
  <c r="J21" i="24"/>
  <c r="K21" i="24"/>
  <c r="L21" i="24"/>
  <c r="D24" i="24"/>
  <c r="E24" i="24"/>
  <c r="F24" i="24"/>
  <c r="D25" i="24"/>
  <c r="H25" i="24"/>
  <c r="M25" i="24"/>
  <c r="E25" i="24"/>
  <c r="F25" i="24"/>
  <c r="D26" i="24"/>
  <c r="E26" i="24"/>
  <c r="F26" i="24"/>
  <c r="D27" i="24"/>
  <c r="E27" i="24"/>
  <c r="F27" i="24"/>
  <c r="F32" i="24"/>
  <c r="D28" i="24"/>
  <c r="E28" i="24"/>
  <c r="F28" i="24"/>
  <c r="D29" i="24"/>
  <c r="E29" i="24"/>
  <c r="F29" i="24"/>
  <c r="D30" i="24"/>
  <c r="E30" i="24"/>
  <c r="E32" i="24"/>
  <c r="F30" i="24"/>
  <c r="G32" i="24"/>
  <c r="I32" i="24"/>
  <c r="J32" i="24"/>
  <c r="J94" i="24"/>
  <c r="K32" i="24"/>
  <c r="L32" i="24"/>
  <c r="D35" i="24"/>
  <c r="D42" i="24"/>
  <c r="E35" i="24"/>
  <c r="F35" i="24"/>
  <c r="D36" i="24"/>
  <c r="E36" i="24"/>
  <c r="F36" i="24"/>
  <c r="D37" i="24"/>
  <c r="E37" i="24"/>
  <c r="F37" i="24"/>
  <c r="H37" i="24"/>
  <c r="M37" i="24"/>
  <c r="D38" i="24"/>
  <c r="E38" i="24"/>
  <c r="F38" i="24"/>
  <c r="D39" i="24"/>
  <c r="E39" i="24"/>
  <c r="F39" i="24"/>
  <c r="D40" i="24"/>
  <c r="E40" i="24"/>
  <c r="E42" i="24"/>
  <c r="F40" i="24"/>
  <c r="G42" i="24"/>
  <c r="I42" i="24"/>
  <c r="J42" i="24"/>
  <c r="K42" i="24"/>
  <c r="L42" i="24"/>
  <c r="L94" i="24"/>
  <c r="D45" i="24"/>
  <c r="D51" i="24"/>
  <c r="E45" i="24"/>
  <c r="F45" i="24"/>
  <c r="D46" i="24"/>
  <c r="E46" i="24"/>
  <c r="F46" i="24"/>
  <c r="D47" i="24"/>
  <c r="E47" i="24"/>
  <c r="F47" i="24"/>
  <c r="H47" i="24"/>
  <c r="M47" i="24"/>
  <c r="D48" i="24"/>
  <c r="E48" i="24"/>
  <c r="F48" i="24"/>
  <c r="D49" i="24"/>
  <c r="E49" i="24"/>
  <c r="F49" i="24"/>
  <c r="G51" i="24"/>
  <c r="I51" i="24"/>
  <c r="J51" i="24"/>
  <c r="K51" i="24"/>
  <c r="L51" i="24"/>
  <c r="D60" i="24"/>
  <c r="D61" i="24"/>
  <c r="K61" i="24"/>
  <c r="D62" i="24"/>
  <c r="D67" i="24"/>
  <c r="H67" i="24"/>
  <c r="E67" i="24"/>
  <c r="F67" i="24"/>
  <c r="D68" i="24"/>
  <c r="E68" i="24"/>
  <c r="F68" i="24"/>
  <c r="D69" i="24"/>
  <c r="E69" i="24"/>
  <c r="F69" i="24"/>
  <c r="H69" i="24"/>
  <c r="M69" i="24"/>
  <c r="D70" i="24"/>
  <c r="E70" i="24"/>
  <c r="F70" i="24"/>
  <c r="D71" i="24"/>
  <c r="H71" i="24"/>
  <c r="M71" i="24"/>
  <c r="E71" i="24"/>
  <c r="F71" i="24"/>
  <c r="D72" i="24"/>
  <c r="H72" i="24"/>
  <c r="M72" i="24"/>
  <c r="E72" i="24"/>
  <c r="F72" i="24"/>
  <c r="D73" i="24"/>
  <c r="E73" i="24"/>
  <c r="F73" i="24"/>
  <c r="D74" i="24"/>
  <c r="E74" i="24"/>
  <c r="F74" i="24"/>
  <c r="H74" i="24"/>
  <c r="M74" i="24"/>
  <c r="G76" i="24"/>
  <c r="I76" i="24"/>
  <c r="J76" i="24"/>
  <c r="K76" i="24"/>
  <c r="K94" i="24"/>
  <c r="H27" i="28"/>
  <c r="L76" i="24"/>
  <c r="D79" i="24"/>
  <c r="H79" i="24"/>
  <c r="M79" i="24"/>
  <c r="E79" i="24"/>
  <c r="F79" i="24"/>
  <c r="D80" i="24"/>
  <c r="E80" i="24"/>
  <c r="F80" i="24"/>
  <c r="D81" i="24"/>
  <c r="E81" i="24"/>
  <c r="F81" i="24"/>
  <c r="H81" i="24"/>
  <c r="M81" i="24"/>
  <c r="D82" i="24"/>
  <c r="E82" i="24"/>
  <c r="F82" i="24"/>
  <c r="D83" i="24"/>
  <c r="E83" i="24"/>
  <c r="F83" i="24"/>
  <c r="D84" i="24"/>
  <c r="E84" i="24"/>
  <c r="H84" i="24"/>
  <c r="M84" i="24"/>
  <c r="F84" i="24"/>
  <c r="D85" i="24"/>
  <c r="E85" i="24"/>
  <c r="F85" i="24"/>
  <c r="D86" i="24"/>
  <c r="E86" i="24"/>
  <c r="F86" i="24"/>
  <c r="D87" i="24"/>
  <c r="H87" i="24"/>
  <c r="M87" i="24"/>
  <c r="E87" i="24"/>
  <c r="F87" i="24"/>
  <c r="D88" i="24"/>
  <c r="E88" i="24"/>
  <c r="F88" i="24"/>
  <c r="D89" i="24"/>
  <c r="E89" i="24"/>
  <c r="F89" i="24"/>
  <c r="H89" i="24"/>
  <c r="M89" i="24"/>
  <c r="D90" i="24"/>
  <c r="E90" i="24"/>
  <c r="F90" i="24"/>
  <c r="G92" i="24"/>
  <c r="I92" i="24"/>
  <c r="J92" i="24"/>
  <c r="K92" i="24"/>
  <c r="L92" i="24"/>
  <c r="B1" i="23"/>
  <c r="B54" i="23"/>
  <c r="D5" i="23"/>
  <c r="D14" i="23"/>
  <c r="D62" i="23"/>
  <c r="D17" i="23"/>
  <c r="F17" i="23"/>
  <c r="D18" i="23"/>
  <c r="E18" i="23"/>
  <c r="H18" i="23"/>
  <c r="F18" i="23"/>
  <c r="D19" i="23"/>
  <c r="E19" i="23"/>
  <c r="F19" i="23"/>
  <c r="G21" i="23"/>
  <c r="G92" i="23"/>
  <c r="J21" i="23"/>
  <c r="J92" i="23"/>
  <c r="I23" i="26"/>
  <c r="K21" i="23"/>
  <c r="L21" i="23"/>
  <c r="D24" i="23"/>
  <c r="E24" i="23"/>
  <c r="F24" i="23"/>
  <c r="D25" i="23"/>
  <c r="E25" i="23"/>
  <c r="E32" i="23"/>
  <c r="F25" i="23"/>
  <c r="D26" i="23"/>
  <c r="E26" i="23"/>
  <c r="F26" i="23"/>
  <c r="D27" i="23"/>
  <c r="E27" i="23"/>
  <c r="F27" i="23"/>
  <c r="D28" i="23"/>
  <c r="G25" i="25"/>
  <c r="H25" i="25"/>
  <c r="E28" i="23"/>
  <c r="F28" i="23"/>
  <c r="D29" i="23"/>
  <c r="E29" i="23"/>
  <c r="F29" i="23"/>
  <c r="D30" i="23"/>
  <c r="E30" i="23"/>
  <c r="G27" i="25"/>
  <c r="H27" i="25"/>
  <c r="F30" i="23"/>
  <c r="G32" i="23"/>
  <c r="I32" i="23"/>
  <c r="J32" i="23"/>
  <c r="K32" i="23"/>
  <c r="L32" i="23"/>
  <c r="D35" i="23"/>
  <c r="E35" i="23"/>
  <c r="H35" i="23"/>
  <c r="F35" i="23"/>
  <c r="D36" i="23"/>
  <c r="G33" i="25"/>
  <c r="H33" i="25"/>
  <c r="E36" i="23"/>
  <c r="F36" i="23"/>
  <c r="D37" i="23"/>
  <c r="E37" i="23"/>
  <c r="F37" i="23"/>
  <c r="D38" i="23"/>
  <c r="H38" i="23"/>
  <c r="E38" i="23"/>
  <c r="F38" i="23"/>
  <c r="D39" i="23"/>
  <c r="E39" i="23"/>
  <c r="F39" i="23"/>
  <c r="D40" i="23"/>
  <c r="E40" i="23"/>
  <c r="F40" i="23"/>
  <c r="G37" i="25"/>
  <c r="H37" i="25"/>
  <c r="G42" i="23"/>
  <c r="I42" i="23"/>
  <c r="J42" i="23"/>
  <c r="K42" i="23"/>
  <c r="L42" i="23"/>
  <c r="D45" i="23"/>
  <c r="E45" i="23"/>
  <c r="F45" i="23"/>
  <c r="F51" i="23"/>
  <c r="D46" i="23"/>
  <c r="E46" i="23"/>
  <c r="F46" i="23"/>
  <c r="D47" i="23"/>
  <c r="E47" i="23"/>
  <c r="F47" i="23"/>
  <c r="D48" i="23"/>
  <c r="G45" i="25"/>
  <c r="H45" i="25"/>
  <c r="E48" i="23"/>
  <c r="F48" i="23"/>
  <c r="D49" i="23"/>
  <c r="E49" i="23"/>
  <c r="F49" i="23"/>
  <c r="G51" i="23"/>
  <c r="I51" i="23"/>
  <c r="J51" i="23"/>
  <c r="K51" i="23"/>
  <c r="L51" i="23"/>
  <c r="D57" i="23"/>
  <c r="D58" i="23"/>
  <c r="E62" i="23"/>
  <c r="F62" i="23"/>
  <c r="I62" i="23"/>
  <c r="J62" i="23"/>
  <c r="K62" i="23"/>
  <c r="L62" i="23"/>
  <c r="D64" i="23"/>
  <c r="E64" i="23"/>
  <c r="F64" i="23"/>
  <c r="D65" i="23"/>
  <c r="E65" i="23"/>
  <c r="F65" i="23"/>
  <c r="H65" i="23"/>
  <c r="D66" i="23"/>
  <c r="E66" i="23"/>
  <c r="F66" i="23"/>
  <c r="D67" i="23"/>
  <c r="G64" i="25"/>
  <c r="H64" i="25"/>
  <c r="D68" i="23"/>
  <c r="H68" i="23"/>
  <c r="D69" i="23"/>
  <c r="D70" i="23"/>
  <c r="H70" i="23"/>
  <c r="M70" i="23"/>
  <c r="D71" i="23"/>
  <c r="H71" i="23"/>
  <c r="E71" i="23"/>
  <c r="F71" i="23"/>
  <c r="G73" i="23"/>
  <c r="I73" i="23"/>
  <c r="J73" i="23"/>
  <c r="L73" i="23"/>
  <c r="L92" i="23"/>
  <c r="J23" i="26"/>
  <c r="D77" i="23"/>
  <c r="E77" i="23"/>
  <c r="F77" i="23"/>
  <c r="D78" i="23"/>
  <c r="E78" i="23"/>
  <c r="F78" i="23"/>
  <c r="D79" i="23"/>
  <c r="D90" i="23"/>
  <c r="F79" i="23"/>
  <c r="D80" i="23"/>
  <c r="F80" i="23"/>
  <c r="D81" i="23"/>
  <c r="E81" i="23"/>
  <c r="F81" i="23"/>
  <c r="H81" i="23"/>
  <c r="D82" i="23"/>
  <c r="E82" i="23"/>
  <c r="F82" i="23"/>
  <c r="D83" i="23"/>
  <c r="D84" i="23"/>
  <c r="E84" i="23"/>
  <c r="G81" i="25"/>
  <c r="H81" i="25"/>
  <c r="F84" i="23"/>
  <c r="D85" i="23"/>
  <c r="H85" i="23"/>
  <c r="N85" i="23"/>
  <c r="L82" i="25"/>
  <c r="E85" i="23"/>
  <c r="F85" i="23"/>
  <c r="D86" i="23"/>
  <c r="F86" i="23"/>
  <c r="D87" i="23"/>
  <c r="H87" i="23"/>
  <c r="E87" i="23"/>
  <c r="F87" i="23"/>
  <c r="D88" i="23"/>
  <c r="E88" i="23"/>
  <c r="F88" i="23"/>
  <c r="G90" i="23"/>
  <c r="I90" i="23"/>
  <c r="J90" i="23"/>
  <c r="K90" i="23"/>
  <c r="L90" i="23"/>
  <c r="B1" i="22"/>
  <c r="D5" i="22"/>
  <c r="D12" i="22"/>
  <c r="E12" i="22"/>
  <c r="F12" i="22"/>
  <c r="G12" i="22"/>
  <c r="H12" i="22"/>
  <c r="J12" i="22"/>
  <c r="K12" i="22"/>
  <c r="D14" i="22"/>
  <c r="E14" i="22"/>
  <c r="F14" i="22"/>
  <c r="D15" i="22"/>
  <c r="E15" i="22"/>
  <c r="F15" i="22"/>
  <c r="G15" i="22"/>
  <c r="D16" i="22"/>
  <c r="E16" i="22"/>
  <c r="F16" i="22"/>
  <c r="D17" i="22"/>
  <c r="E17" i="22"/>
  <c r="F17" i="22"/>
  <c r="D18" i="22"/>
  <c r="E18" i="22"/>
  <c r="F18" i="22"/>
  <c r="D19" i="22"/>
  <c r="E19" i="22"/>
  <c r="F19" i="22"/>
  <c r="D20" i="22"/>
  <c r="E20" i="22"/>
  <c r="F20" i="22"/>
  <c r="H22" i="22"/>
  <c r="D24" i="22"/>
  <c r="E24" i="22"/>
  <c r="F24" i="22"/>
  <c r="D25" i="22"/>
  <c r="E25" i="22"/>
  <c r="F25" i="22"/>
  <c r="D26" i="22"/>
  <c r="I26" i="22"/>
  <c r="J26" i="22"/>
  <c r="E26" i="22"/>
  <c r="F26" i="22"/>
  <c r="D27" i="22"/>
  <c r="E27" i="22"/>
  <c r="F27" i="22"/>
  <c r="D28" i="22"/>
  <c r="E28" i="22"/>
  <c r="F28" i="22"/>
  <c r="D29" i="22"/>
  <c r="E29" i="22"/>
  <c r="F29" i="22"/>
  <c r="D30" i="22"/>
  <c r="E30" i="22"/>
  <c r="F30" i="22"/>
  <c r="I30" i="22"/>
  <c r="K30" i="22"/>
  <c r="D31" i="22"/>
  <c r="E31" i="22"/>
  <c r="F31" i="22"/>
  <c r="D32" i="22"/>
  <c r="E32" i="22"/>
  <c r="F32" i="22"/>
  <c r="G32" i="22"/>
  <c r="H34" i="22"/>
  <c r="H36" i="22"/>
  <c r="H15" i="27"/>
  <c r="C39" i="22"/>
  <c r="B2" i="21"/>
  <c r="B53" i="21"/>
  <c r="D6" i="21"/>
  <c r="D56" i="21"/>
  <c r="G12" i="21"/>
  <c r="J12" i="21"/>
  <c r="I12" i="21"/>
  <c r="I59" i="21"/>
  <c r="D13" i="21"/>
  <c r="D60" i="21"/>
  <c r="E13" i="21"/>
  <c r="E60" i="21"/>
  <c r="F13" i="21"/>
  <c r="F60" i="21"/>
  <c r="G13" i="21"/>
  <c r="G60" i="21"/>
  <c r="H13" i="21"/>
  <c r="H60" i="21"/>
  <c r="J13" i="21"/>
  <c r="J60" i="21"/>
  <c r="K13" i="21"/>
  <c r="K60" i="21"/>
  <c r="D15" i="21"/>
  <c r="E15" i="21"/>
  <c r="F15" i="21"/>
  <c r="G15" i="21"/>
  <c r="D16" i="21"/>
  <c r="E16" i="21"/>
  <c r="F16" i="21"/>
  <c r="G16" i="21"/>
  <c r="D17" i="21"/>
  <c r="E17" i="21"/>
  <c r="F17" i="21"/>
  <c r="G17" i="21"/>
  <c r="D18" i="21"/>
  <c r="E18" i="21"/>
  <c r="F18" i="21"/>
  <c r="G18" i="21"/>
  <c r="H20" i="21"/>
  <c r="D22" i="21"/>
  <c r="I22" i="21"/>
  <c r="J22" i="21"/>
  <c r="E22" i="21"/>
  <c r="F22" i="21"/>
  <c r="G22" i="21"/>
  <c r="G28" i="21"/>
  <c r="D23" i="21"/>
  <c r="E23" i="21"/>
  <c r="F23" i="21"/>
  <c r="G23" i="21"/>
  <c r="D24" i="21"/>
  <c r="I24" i="21"/>
  <c r="K24" i="21"/>
  <c r="E24" i="21"/>
  <c r="F24" i="21"/>
  <c r="G24" i="21"/>
  <c r="D25" i="21"/>
  <c r="I25" i="21"/>
  <c r="E25" i="21"/>
  <c r="F25" i="21"/>
  <c r="G25" i="21"/>
  <c r="D26" i="21"/>
  <c r="E26" i="21"/>
  <c r="F26" i="21"/>
  <c r="G26" i="21"/>
  <c r="H28" i="21"/>
  <c r="D30" i="21"/>
  <c r="E30" i="21"/>
  <c r="E35" i="21"/>
  <c r="F30" i="21"/>
  <c r="G30" i="21"/>
  <c r="D31" i="21"/>
  <c r="E31" i="21"/>
  <c r="F31" i="21"/>
  <c r="G31" i="21"/>
  <c r="D32" i="21"/>
  <c r="E32" i="21"/>
  <c r="I32" i="21"/>
  <c r="F32" i="21"/>
  <c r="G32" i="21"/>
  <c r="D33" i="21"/>
  <c r="E33" i="21"/>
  <c r="F33" i="21"/>
  <c r="G33" i="21"/>
  <c r="H35" i="21"/>
  <c r="D37" i="21"/>
  <c r="D46" i="21"/>
  <c r="E37" i="21"/>
  <c r="F37" i="21"/>
  <c r="G37" i="21"/>
  <c r="D38" i="21"/>
  <c r="E38" i="21"/>
  <c r="F38" i="21"/>
  <c r="G38" i="21"/>
  <c r="D39" i="21"/>
  <c r="I39" i="21"/>
  <c r="E39" i="21"/>
  <c r="F39" i="21"/>
  <c r="G39" i="21"/>
  <c r="D40" i="21"/>
  <c r="I40" i="21"/>
  <c r="J40" i="21"/>
  <c r="E40" i="21"/>
  <c r="F40" i="21"/>
  <c r="G40" i="21"/>
  <c r="D41" i="21"/>
  <c r="E41" i="21"/>
  <c r="F41" i="21"/>
  <c r="G41" i="21"/>
  <c r="D42" i="21"/>
  <c r="E42" i="21"/>
  <c r="F42" i="21"/>
  <c r="G42" i="21"/>
  <c r="D43" i="21"/>
  <c r="E43" i="21"/>
  <c r="F43" i="21"/>
  <c r="G43" i="21"/>
  <c r="D44" i="21"/>
  <c r="E44" i="21"/>
  <c r="I44" i="21"/>
  <c r="J44" i="21"/>
  <c r="F44" i="21"/>
  <c r="G44" i="21"/>
  <c r="H46" i="21"/>
  <c r="D62" i="21"/>
  <c r="E62" i="21"/>
  <c r="F62" i="21"/>
  <c r="G62" i="21"/>
  <c r="D63" i="21"/>
  <c r="E63" i="21"/>
  <c r="I63" i="21"/>
  <c r="F63" i="21"/>
  <c r="G63" i="21"/>
  <c r="D64" i="21"/>
  <c r="E64" i="21"/>
  <c r="F64" i="21"/>
  <c r="G64" i="21"/>
  <c r="D65" i="21"/>
  <c r="I65" i="21"/>
  <c r="E65" i="21"/>
  <c r="F65" i="21"/>
  <c r="G65" i="21"/>
  <c r="D66" i="21"/>
  <c r="E66" i="21"/>
  <c r="F66" i="21"/>
  <c r="G66" i="21"/>
  <c r="G68" i="21"/>
  <c r="H68" i="21"/>
  <c r="D70" i="21"/>
  <c r="E70" i="21"/>
  <c r="F70" i="21"/>
  <c r="G70" i="21"/>
  <c r="D72" i="21"/>
  <c r="E72" i="21"/>
  <c r="F72" i="21"/>
  <c r="G72" i="21"/>
  <c r="D73" i="21"/>
  <c r="E73" i="21"/>
  <c r="F73" i="21"/>
  <c r="G73" i="21"/>
  <c r="D74" i="21"/>
  <c r="I74" i="21"/>
  <c r="J74" i="21"/>
  <c r="E74" i="21"/>
  <c r="F74" i="21"/>
  <c r="F84" i="21"/>
  <c r="G74" i="21"/>
  <c r="D75" i="21"/>
  <c r="E75" i="21"/>
  <c r="F75" i="21"/>
  <c r="I75" i="21"/>
  <c r="K75" i="21"/>
  <c r="G75" i="21"/>
  <c r="G84" i="21"/>
  <c r="D76" i="21"/>
  <c r="E76" i="21"/>
  <c r="F76" i="21"/>
  <c r="G76" i="21"/>
  <c r="D77" i="21"/>
  <c r="E77" i="21"/>
  <c r="F77" i="21"/>
  <c r="G77" i="21"/>
  <c r="D78" i="21"/>
  <c r="I78" i="21"/>
  <c r="J78" i="21"/>
  <c r="E78" i="21"/>
  <c r="F78" i="21"/>
  <c r="G78" i="21"/>
  <c r="D79" i="21"/>
  <c r="E79" i="21"/>
  <c r="F79" i="21"/>
  <c r="G79" i="21"/>
  <c r="D80" i="21"/>
  <c r="E80" i="21"/>
  <c r="F80" i="21"/>
  <c r="G80" i="21"/>
  <c r="D81" i="21"/>
  <c r="E81" i="21"/>
  <c r="F81" i="21"/>
  <c r="G81" i="21"/>
  <c r="D82" i="21"/>
  <c r="E82" i="21"/>
  <c r="F82" i="21"/>
  <c r="G82" i="21"/>
  <c r="H84" i="21"/>
  <c r="C89" i="21"/>
  <c r="B1" i="20"/>
  <c r="B59" i="20"/>
  <c r="D5" i="20"/>
  <c r="G10" i="20"/>
  <c r="J10" i="20"/>
  <c r="D11" i="20"/>
  <c r="E11" i="20"/>
  <c r="E64" i="20"/>
  <c r="F11" i="20"/>
  <c r="F64" i="20"/>
  <c r="G11" i="20"/>
  <c r="G64" i="20"/>
  <c r="H11" i="20"/>
  <c r="H64" i="20"/>
  <c r="J11" i="20"/>
  <c r="J64" i="20"/>
  <c r="K11" i="20"/>
  <c r="K64" i="20"/>
  <c r="D13" i="20"/>
  <c r="D26" i="20"/>
  <c r="E13" i="20"/>
  <c r="F13" i="20"/>
  <c r="G13" i="20"/>
  <c r="D14" i="20"/>
  <c r="I14" i="20"/>
  <c r="J14" i="20"/>
  <c r="E14" i="20"/>
  <c r="F14" i="20"/>
  <c r="G14" i="20"/>
  <c r="D15" i="20"/>
  <c r="E15" i="20"/>
  <c r="F15" i="20"/>
  <c r="G15" i="20"/>
  <c r="D16" i="20"/>
  <c r="I16" i="20"/>
  <c r="K16" i="20"/>
  <c r="E16" i="20"/>
  <c r="F16" i="20"/>
  <c r="G16" i="20"/>
  <c r="D17" i="20"/>
  <c r="E17" i="20"/>
  <c r="F17" i="20"/>
  <c r="G17" i="20"/>
  <c r="D18" i="20"/>
  <c r="I18" i="20"/>
  <c r="E18" i="20"/>
  <c r="F18" i="20"/>
  <c r="G18" i="20"/>
  <c r="D19" i="20"/>
  <c r="I19" i="20"/>
  <c r="E19" i="20"/>
  <c r="F19" i="20"/>
  <c r="G19" i="20"/>
  <c r="D20" i="20"/>
  <c r="I20" i="20"/>
  <c r="J20" i="20"/>
  <c r="E20" i="20"/>
  <c r="F20" i="20"/>
  <c r="G20" i="20"/>
  <c r="D21" i="20"/>
  <c r="I21" i="20"/>
  <c r="E21" i="20"/>
  <c r="F21" i="20"/>
  <c r="G21" i="20"/>
  <c r="D22" i="20"/>
  <c r="I22" i="20"/>
  <c r="J22" i="20"/>
  <c r="E22" i="20"/>
  <c r="F22" i="20"/>
  <c r="G22" i="20"/>
  <c r="D23" i="20"/>
  <c r="I23" i="20"/>
  <c r="E23" i="20"/>
  <c r="F23" i="20"/>
  <c r="G23" i="20"/>
  <c r="D24" i="20"/>
  <c r="I24" i="20"/>
  <c r="E24" i="20"/>
  <c r="F24" i="20"/>
  <c r="G24" i="20"/>
  <c r="H26" i="20"/>
  <c r="D28" i="20"/>
  <c r="E28" i="20"/>
  <c r="F28" i="20"/>
  <c r="I28" i="20"/>
  <c r="K28" i="20"/>
  <c r="G28" i="20"/>
  <c r="D29" i="20"/>
  <c r="E29" i="20"/>
  <c r="F29" i="20"/>
  <c r="I29" i="20"/>
  <c r="J29" i="20"/>
  <c r="G29" i="20"/>
  <c r="D30" i="20"/>
  <c r="E30" i="20"/>
  <c r="F30" i="20"/>
  <c r="I30" i="20"/>
  <c r="G30" i="20"/>
  <c r="D31" i="20"/>
  <c r="I31" i="20"/>
  <c r="E31" i="20"/>
  <c r="F31" i="20"/>
  <c r="G31" i="20"/>
  <c r="D32" i="20"/>
  <c r="I32" i="20"/>
  <c r="K32" i="20"/>
  <c r="E32" i="20"/>
  <c r="F32" i="20"/>
  <c r="G32" i="20"/>
  <c r="D33" i="20"/>
  <c r="E33" i="20"/>
  <c r="I33" i="20"/>
  <c r="J33" i="20"/>
  <c r="F33" i="20"/>
  <c r="G33" i="20"/>
  <c r="D34" i="20"/>
  <c r="E34" i="20"/>
  <c r="F34" i="20"/>
  <c r="G34" i="20"/>
  <c r="D35" i="20"/>
  <c r="I35" i="20"/>
  <c r="K35" i="20"/>
  <c r="E35" i="20"/>
  <c r="F35" i="20"/>
  <c r="G35" i="20"/>
  <c r="D36" i="20"/>
  <c r="I36" i="20"/>
  <c r="E36" i="20"/>
  <c r="F36" i="20"/>
  <c r="G36" i="20"/>
  <c r="D37" i="20"/>
  <c r="E37" i="20"/>
  <c r="F37" i="20"/>
  <c r="G37" i="20"/>
  <c r="D38" i="20"/>
  <c r="I38" i="20"/>
  <c r="K38" i="20"/>
  <c r="E38" i="20"/>
  <c r="F38" i="20"/>
  <c r="G38" i="20"/>
  <c r="D39" i="20"/>
  <c r="E39" i="20"/>
  <c r="F39" i="20"/>
  <c r="G39" i="20"/>
  <c r="H41" i="20"/>
  <c r="D43" i="20"/>
  <c r="E43" i="20"/>
  <c r="F43" i="20"/>
  <c r="G43" i="20"/>
  <c r="D44" i="20"/>
  <c r="I44" i="20"/>
  <c r="J44" i="20"/>
  <c r="E44" i="20"/>
  <c r="F44" i="20"/>
  <c r="G44" i="20"/>
  <c r="D45" i="20"/>
  <c r="E45" i="20"/>
  <c r="I45" i="20"/>
  <c r="F45" i="20"/>
  <c r="G45" i="20"/>
  <c r="D46" i="20"/>
  <c r="I46" i="20"/>
  <c r="J46" i="20"/>
  <c r="E46" i="20"/>
  <c r="F46" i="20"/>
  <c r="G46" i="20"/>
  <c r="D47" i="20"/>
  <c r="E47" i="20"/>
  <c r="F47" i="20"/>
  <c r="G47" i="20"/>
  <c r="D48" i="20"/>
  <c r="E48" i="20"/>
  <c r="F48" i="20"/>
  <c r="G48" i="20"/>
  <c r="D49" i="20"/>
  <c r="E49" i="20"/>
  <c r="F49" i="20"/>
  <c r="G49" i="20"/>
  <c r="D50" i="20"/>
  <c r="E50" i="20"/>
  <c r="F50" i="20"/>
  <c r="G50" i="20"/>
  <c r="H52" i="20"/>
  <c r="C54" i="20"/>
  <c r="D60" i="20"/>
  <c r="D61" i="20"/>
  <c r="D66" i="20"/>
  <c r="E66" i="20"/>
  <c r="F66" i="20"/>
  <c r="G66" i="20"/>
  <c r="D67" i="20"/>
  <c r="E67" i="20"/>
  <c r="F67" i="20"/>
  <c r="G67" i="20"/>
  <c r="D68" i="20"/>
  <c r="E68" i="20"/>
  <c r="F68" i="20"/>
  <c r="G68" i="20"/>
  <c r="D69" i="20"/>
  <c r="E69" i="20"/>
  <c r="F69" i="20"/>
  <c r="G69" i="20"/>
  <c r="D70" i="20"/>
  <c r="E70" i="20"/>
  <c r="F70" i="20"/>
  <c r="G70" i="20"/>
  <c r="D71" i="20"/>
  <c r="E71" i="20"/>
  <c r="F71" i="20"/>
  <c r="G71" i="20"/>
  <c r="D72" i="20"/>
  <c r="I72" i="20"/>
  <c r="K72" i="20"/>
  <c r="E72" i="20"/>
  <c r="F72" i="20"/>
  <c r="G72" i="20"/>
  <c r="D73" i="20"/>
  <c r="I73" i="20"/>
  <c r="K73" i="20"/>
  <c r="E73" i="20"/>
  <c r="F73" i="20"/>
  <c r="G73" i="20"/>
  <c r="D74" i="20"/>
  <c r="E74" i="20"/>
  <c r="F74" i="20"/>
  <c r="I74" i="20"/>
  <c r="K74" i="20"/>
  <c r="G74" i="20"/>
  <c r="D75" i="20"/>
  <c r="I75" i="20"/>
  <c r="E75" i="20"/>
  <c r="F75" i="20"/>
  <c r="G75" i="20"/>
  <c r="D76" i="20"/>
  <c r="E76" i="20"/>
  <c r="I76" i="20"/>
  <c r="F76" i="20"/>
  <c r="G76" i="20"/>
  <c r="D77" i="20"/>
  <c r="I77" i="20"/>
  <c r="K77" i="20"/>
  <c r="E77" i="20"/>
  <c r="F77" i="20"/>
  <c r="G77" i="20"/>
  <c r="D78" i="20"/>
  <c r="I78" i="20"/>
  <c r="E78" i="20"/>
  <c r="F78" i="20"/>
  <c r="G78" i="20"/>
  <c r="D79" i="20"/>
  <c r="I79" i="20"/>
  <c r="E79" i="20"/>
  <c r="F79" i="20"/>
  <c r="G79" i="20"/>
  <c r="D80" i="20"/>
  <c r="E80" i="20"/>
  <c r="F80" i="20"/>
  <c r="G80" i="20"/>
  <c r="H82" i="20"/>
  <c r="H110" i="20"/>
  <c r="D84" i="20"/>
  <c r="E84" i="20"/>
  <c r="F84" i="20"/>
  <c r="G84" i="20"/>
  <c r="D85" i="20"/>
  <c r="E85" i="20"/>
  <c r="I85" i="20"/>
  <c r="J85" i="20"/>
  <c r="F85" i="20"/>
  <c r="G85" i="20"/>
  <c r="G91" i="20"/>
  <c r="D86" i="20"/>
  <c r="E86" i="20"/>
  <c r="F86" i="20"/>
  <c r="G86" i="20"/>
  <c r="D87" i="20"/>
  <c r="I87" i="20"/>
  <c r="J87" i="20"/>
  <c r="E87" i="20"/>
  <c r="F87" i="20"/>
  <c r="G87" i="20"/>
  <c r="D88" i="20"/>
  <c r="E88" i="20"/>
  <c r="F88" i="20"/>
  <c r="G88" i="20"/>
  <c r="D89" i="20"/>
  <c r="I89" i="20"/>
  <c r="E89" i="20"/>
  <c r="F89" i="20"/>
  <c r="G89" i="20"/>
  <c r="H91" i="20"/>
  <c r="D93" i="20"/>
  <c r="I93" i="20"/>
  <c r="J93" i="20"/>
  <c r="E93" i="20"/>
  <c r="F93" i="20"/>
  <c r="G93" i="20"/>
  <c r="K93" i="20"/>
  <c r="D95" i="20"/>
  <c r="E95" i="20"/>
  <c r="F95" i="20"/>
  <c r="G95" i="20"/>
  <c r="D96" i="20"/>
  <c r="E96" i="20"/>
  <c r="F96" i="20"/>
  <c r="G96" i="20"/>
  <c r="D97" i="20"/>
  <c r="E97" i="20"/>
  <c r="E108" i="20"/>
  <c r="F97" i="20"/>
  <c r="G97" i="20"/>
  <c r="D98" i="20"/>
  <c r="E98" i="20"/>
  <c r="F98" i="20"/>
  <c r="G98" i="20"/>
  <c r="D99" i="20"/>
  <c r="I99" i="20"/>
  <c r="J99" i="20"/>
  <c r="E99" i="20"/>
  <c r="F99" i="20"/>
  <c r="G99" i="20"/>
  <c r="D100" i="20"/>
  <c r="E100" i="20"/>
  <c r="F100" i="20"/>
  <c r="I100" i="20"/>
  <c r="J100" i="20"/>
  <c r="G100" i="20"/>
  <c r="D101" i="20"/>
  <c r="I101" i="20"/>
  <c r="E101" i="20"/>
  <c r="F101" i="20"/>
  <c r="G101" i="20"/>
  <c r="D102" i="20"/>
  <c r="E102" i="20"/>
  <c r="F102" i="20"/>
  <c r="G102" i="20"/>
  <c r="D103" i="20"/>
  <c r="E103" i="20"/>
  <c r="F103" i="20"/>
  <c r="G103" i="20"/>
  <c r="D104" i="20"/>
  <c r="E104" i="20"/>
  <c r="F104" i="20"/>
  <c r="G104" i="20"/>
  <c r="D105" i="20"/>
  <c r="I105" i="20"/>
  <c r="K105" i="20"/>
  <c r="E105" i="20"/>
  <c r="F105" i="20"/>
  <c r="G105" i="20"/>
  <c r="D106" i="20"/>
  <c r="I106" i="20"/>
  <c r="K106" i="20"/>
  <c r="E106" i="20"/>
  <c r="F106" i="20"/>
  <c r="G106" i="20"/>
  <c r="H108" i="20"/>
  <c r="C112" i="20"/>
  <c r="C6" i="19"/>
  <c r="C9" i="19"/>
  <c r="C10" i="19"/>
  <c r="H48" i="19"/>
  <c r="F28" i="19"/>
  <c r="F58" i="19"/>
  <c r="G28" i="19"/>
  <c r="H28" i="19"/>
  <c r="H56" i="19"/>
  <c r="H66" i="19"/>
  <c r="I28" i="19"/>
  <c r="I49" i="19"/>
  <c r="F30" i="19"/>
  <c r="G30" i="19"/>
  <c r="I32" i="19"/>
  <c r="F36" i="19"/>
  <c r="G36" i="19"/>
  <c r="F44" i="19"/>
  <c r="I44" i="19"/>
  <c r="H51" i="33"/>
  <c r="G44" i="19"/>
  <c r="H44" i="19"/>
  <c r="F45" i="19"/>
  <c r="G45" i="19"/>
  <c r="F46" i="19"/>
  <c r="F25" i="18"/>
  <c r="F30" i="18"/>
  <c r="F39" i="18"/>
  <c r="G46" i="19"/>
  <c r="G25" i="18"/>
  <c r="I63" i="19"/>
  <c r="I65" i="19"/>
  <c r="I66" i="19"/>
  <c r="B1" i="18"/>
  <c r="B6" i="18"/>
  <c r="C15" i="18"/>
  <c r="C16" i="18"/>
  <c r="H21" i="18"/>
  <c r="F22" i="18"/>
  <c r="G22" i="18"/>
  <c r="H22" i="18"/>
  <c r="I22" i="18"/>
  <c r="F28" i="18"/>
  <c r="G28" i="18"/>
  <c r="F32" i="18"/>
  <c r="G32" i="18"/>
  <c r="F34" i="18"/>
  <c r="G34" i="18"/>
  <c r="B1" i="17"/>
  <c r="B6" i="17"/>
  <c r="G12" i="17"/>
  <c r="D13" i="17"/>
  <c r="E13" i="17"/>
  <c r="F13" i="17"/>
  <c r="G13" i="17"/>
  <c r="H13" i="17"/>
  <c r="D16" i="17"/>
  <c r="E16" i="17"/>
  <c r="F16" i="17"/>
  <c r="G16" i="17"/>
  <c r="D17" i="17"/>
  <c r="E17" i="17"/>
  <c r="F17" i="17"/>
  <c r="G17" i="17"/>
  <c r="D18" i="17"/>
  <c r="E18" i="17"/>
  <c r="F18" i="17"/>
  <c r="G18" i="17"/>
  <c r="D19" i="17"/>
  <c r="E19" i="17"/>
  <c r="F19" i="17"/>
  <c r="G19" i="17"/>
  <c r="D20" i="17"/>
  <c r="E20" i="17"/>
  <c r="F20" i="17"/>
  <c r="G20" i="17"/>
  <c r="D21" i="17"/>
  <c r="E21" i="17"/>
  <c r="F21" i="17"/>
  <c r="G21" i="17"/>
  <c r="H23" i="17"/>
  <c r="D26" i="17"/>
  <c r="E26" i="17"/>
  <c r="F26" i="17"/>
  <c r="D27" i="17"/>
  <c r="E27" i="17"/>
  <c r="F27" i="17"/>
  <c r="D28" i="17"/>
  <c r="E28" i="17"/>
  <c r="F28" i="17"/>
  <c r="D29" i="17"/>
  <c r="E29" i="17"/>
  <c r="F29" i="17"/>
  <c r="D30" i="17"/>
  <c r="E30" i="17"/>
  <c r="F30" i="17"/>
  <c r="D31" i="17"/>
  <c r="E31" i="17"/>
  <c r="F31" i="17"/>
  <c r="G31" i="17"/>
  <c r="D36" i="17"/>
  <c r="E36" i="17"/>
  <c r="F36" i="17"/>
  <c r="D37" i="17"/>
  <c r="E37" i="17"/>
  <c r="F37" i="17"/>
  <c r="D38" i="17"/>
  <c r="E38" i="17"/>
  <c r="F38" i="17"/>
  <c r="D39" i="17"/>
  <c r="E39" i="17"/>
  <c r="F39" i="17"/>
  <c r="G39" i="17"/>
  <c r="D40" i="17"/>
  <c r="E40" i="17"/>
  <c r="F40" i="17"/>
  <c r="G40" i="17"/>
  <c r="D46" i="17"/>
  <c r="D51" i="17"/>
  <c r="E46" i="17"/>
  <c r="F46" i="17"/>
  <c r="F51" i="17"/>
  <c r="D47" i="17"/>
  <c r="E47" i="17"/>
  <c r="F47" i="17"/>
  <c r="D48" i="17"/>
  <c r="E48" i="17"/>
  <c r="F48" i="17"/>
  <c r="G48" i="17"/>
  <c r="D49" i="17"/>
  <c r="E49" i="17"/>
  <c r="F49" i="17"/>
  <c r="H51" i="17"/>
  <c r="C58" i="17"/>
  <c r="C59" i="17"/>
  <c r="C60" i="17"/>
  <c r="B1" i="16"/>
  <c r="B6" i="16"/>
  <c r="E24" i="16"/>
  <c r="E40" i="16"/>
  <c r="C20" i="15"/>
  <c r="C22" i="15"/>
  <c r="F25" i="15"/>
  <c r="F28" i="15"/>
  <c r="H28" i="15"/>
  <c r="J28" i="15"/>
  <c r="C30" i="15"/>
  <c r="C32" i="15"/>
  <c r="C33" i="15"/>
  <c r="C34" i="15"/>
  <c r="F39" i="15"/>
  <c r="H39" i="15"/>
  <c r="D5" i="14"/>
  <c r="F24" i="13"/>
  <c r="G9" i="13"/>
  <c r="G35" i="13"/>
  <c r="H9" i="13"/>
  <c r="H24" i="13"/>
  <c r="I9" i="13"/>
  <c r="J9" i="13"/>
  <c r="J35" i="13"/>
  <c r="B11" i="13"/>
  <c r="B12" i="13"/>
  <c r="B13" i="13"/>
  <c r="B14" i="13"/>
  <c r="B15" i="13"/>
  <c r="K24" i="13"/>
  <c r="F27" i="13"/>
  <c r="K27" i="13"/>
  <c r="G27" i="13"/>
  <c r="H27" i="13"/>
  <c r="I27" i="13"/>
  <c r="J27" i="13"/>
  <c r="K35" i="13"/>
  <c r="F38" i="13"/>
  <c r="G38" i="13"/>
  <c r="K38" i="13"/>
  <c r="H45" i="14"/>
  <c r="H38" i="13"/>
  <c r="I38" i="13"/>
  <c r="J38" i="13"/>
  <c r="CV2" i="12"/>
  <c r="E18" i="12"/>
  <c r="G29" i="16"/>
  <c r="M18" i="12"/>
  <c r="E60" i="15"/>
  <c r="E19" i="12"/>
  <c r="G30" i="16"/>
  <c r="M19" i="12"/>
  <c r="E61" i="15"/>
  <c r="E20" i="12"/>
  <c r="G31" i="16"/>
  <c r="M20" i="12"/>
  <c r="E62" i="15"/>
  <c r="E21" i="12"/>
  <c r="G32" i="16"/>
  <c r="M21" i="12"/>
  <c r="E63" i="15"/>
  <c r="E22" i="12"/>
  <c r="M22" i="12"/>
  <c r="E64" i="15"/>
  <c r="E23" i="12"/>
  <c r="G34" i="16"/>
  <c r="M23" i="12"/>
  <c r="E65" i="15"/>
  <c r="E24" i="12"/>
  <c r="G35" i="16"/>
  <c r="M24" i="12"/>
  <c r="E66" i="15"/>
  <c r="E25" i="12"/>
  <c r="G36" i="16"/>
  <c r="M25" i="12"/>
  <c r="E67" i="15"/>
  <c r="E26" i="12"/>
  <c r="G37" i="16"/>
  <c r="M26" i="12"/>
  <c r="E68" i="15"/>
  <c r="E27" i="12"/>
  <c r="G38" i="16"/>
  <c r="M27" i="12"/>
  <c r="E69" i="15"/>
  <c r="E28" i="12"/>
  <c r="G39" i="16"/>
  <c r="M28" i="12"/>
  <c r="E70" i="15"/>
  <c r="E29" i="12"/>
  <c r="M29" i="12"/>
  <c r="E71" i="15"/>
  <c r="E30" i="12"/>
  <c r="M30" i="12"/>
  <c r="E72" i="15"/>
  <c r="G32" i="12"/>
  <c r="D12" i="10"/>
  <c r="H32" i="12"/>
  <c r="I32" i="12"/>
  <c r="J12" i="10"/>
  <c r="J32" i="12"/>
  <c r="J48" i="10"/>
  <c r="K32" i="12"/>
  <c r="J30" i="10"/>
  <c r="L32" i="12"/>
  <c r="M37" i="12"/>
  <c r="E51" i="12"/>
  <c r="C16" i="11"/>
  <c r="H19" i="11"/>
  <c r="I19" i="11"/>
  <c r="H24" i="11"/>
  <c r="H20" i="11"/>
  <c r="I20" i="11"/>
  <c r="G23" i="11"/>
  <c r="D22" i="11"/>
  <c r="E22" i="11"/>
  <c r="C23" i="11"/>
  <c r="D23" i="11"/>
  <c r="C39" i="11"/>
  <c r="E23" i="11"/>
  <c r="I53" i="11"/>
  <c r="L35" i="12"/>
  <c r="C24" i="11"/>
  <c r="E24" i="11"/>
  <c r="C25" i="11"/>
  <c r="D25" i="11"/>
  <c r="C41" i="11"/>
  <c r="C26" i="11"/>
  <c r="D26" i="11"/>
  <c r="C27" i="11"/>
  <c r="C40" i="11"/>
  <c r="C42" i="11"/>
  <c r="C7" i="10"/>
  <c r="D7" i="10"/>
  <c r="I7" i="10"/>
  <c r="J7" i="10"/>
  <c r="C8" i="10"/>
  <c r="D8" i="10"/>
  <c r="I8" i="10"/>
  <c r="J8" i="10"/>
  <c r="C9" i="10"/>
  <c r="D9" i="10"/>
  <c r="I9" i="10"/>
  <c r="J9" i="10"/>
  <c r="C10" i="10"/>
  <c r="D10" i="10"/>
  <c r="G10" i="10"/>
  <c r="I10" i="10"/>
  <c r="J10" i="10"/>
  <c r="C11" i="10"/>
  <c r="C19" i="10"/>
  <c r="D16" i="10"/>
  <c r="I11" i="10"/>
  <c r="I19" i="10"/>
  <c r="M11" i="10"/>
  <c r="C12" i="10"/>
  <c r="I12" i="10"/>
  <c r="I25" i="10"/>
  <c r="J25" i="10"/>
  <c r="I26" i="10"/>
  <c r="J26" i="10"/>
  <c r="M27" i="10"/>
  <c r="I27" i="10"/>
  <c r="J27" i="10"/>
  <c r="I28" i="10"/>
  <c r="J28" i="10"/>
  <c r="M28" i="10"/>
  <c r="I29" i="10"/>
  <c r="I37" i="10"/>
  <c r="J36" i="10"/>
  <c r="I30" i="10"/>
  <c r="I43" i="10"/>
  <c r="J43" i="10"/>
  <c r="I44" i="10"/>
  <c r="J44" i="10"/>
  <c r="M44" i="10"/>
  <c r="I45" i="10"/>
  <c r="J45" i="10"/>
  <c r="M45" i="10"/>
  <c r="M53" i="10"/>
  <c r="I46" i="10"/>
  <c r="J46" i="10"/>
  <c r="I47" i="10"/>
  <c r="I55" i="10"/>
  <c r="M47" i="10"/>
  <c r="M52" i="10"/>
  <c r="J55" i="10"/>
  <c r="I48" i="10"/>
  <c r="CU2" i="9"/>
  <c r="J11" i="13"/>
  <c r="I15" i="13"/>
  <c r="G11" i="9"/>
  <c r="E12" i="11"/>
  <c r="L11" i="9"/>
  <c r="M18" i="9"/>
  <c r="M19" i="9"/>
  <c r="M20" i="9"/>
  <c r="M21" i="9"/>
  <c r="M22" i="9"/>
  <c r="M23" i="9"/>
  <c r="M24" i="9"/>
  <c r="M25" i="9"/>
  <c r="M26" i="9"/>
  <c r="M27" i="9"/>
  <c r="M28" i="9"/>
  <c r="M29" i="9"/>
  <c r="M30" i="9"/>
  <c r="G32" i="9"/>
  <c r="E58" i="37"/>
  <c r="E60" i="37"/>
  <c r="H32" i="9"/>
  <c r="F58" i="37"/>
  <c r="F60" i="37"/>
  <c r="I32" i="9"/>
  <c r="G58" i="37"/>
  <c r="G60" i="37"/>
  <c r="J32" i="9"/>
  <c r="H58" i="37"/>
  <c r="H60" i="37"/>
  <c r="K32" i="9"/>
  <c r="I58" i="37"/>
  <c r="I60" i="37"/>
  <c r="L32" i="9"/>
  <c r="M37" i="9"/>
  <c r="M41" i="9"/>
  <c r="B2" i="8"/>
  <c r="E8" i="8"/>
  <c r="D17" i="8"/>
  <c r="C18" i="8"/>
  <c r="C30" i="11"/>
  <c r="C19" i="8"/>
  <c r="C31" i="11"/>
  <c r="C20" i="8"/>
  <c r="C32" i="11"/>
  <c r="C21" i="8"/>
  <c r="C33" i="11"/>
  <c r="C22" i="8"/>
  <c r="C34" i="11"/>
  <c r="C34" i="8"/>
  <c r="C46" i="11"/>
  <c r="C35" i="8"/>
  <c r="C36" i="8"/>
  <c r="C48" i="11"/>
  <c r="C37" i="8"/>
  <c r="C49" i="11"/>
  <c r="F53" i="7"/>
  <c r="C2" i="30"/>
  <c r="D2" i="23"/>
  <c r="B3" i="17"/>
  <c r="I3" i="9"/>
  <c r="B2" i="25"/>
  <c r="D54" i="23"/>
  <c r="E2" i="8"/>
  <c r="D55" i="24"/>
  <c r="J18" i="30"/>
  <c r="H33" i="15"/>
  <c r="G28" i="10"/>
  <c r="G49" i="19"/>
  <c r="G52" i="19"/>
  <c r="G34" i="26"/>
  <c r="F16" i="26"/>
  <c r="F18" i="26"/>
  <c r="G63" i="20"/>
  <c r="J63" i="20"/>
  <c r="G30" i="10"/>
  <c r="E41" i="20"/>
  <c r="I9" i="37"/>
  <c r="D35" i="21"/>
  <c r="G36" i="25"/>
  <c r="H36" i="25"/>
  <c r="H49" i="19"/>
  <c r="F68" i="21"/>
  <c r="I29" i="22"/>
  <c r="K29" i="22"/>
  <c r="G53" i="19"/>
  <c r="G63" i="19"/>
  <c r="I76" i="21"/>
  <c r="J76" i="21"/>
  <c r="I70" i="20"/>
  <c r="K70" i="20"/>
  <c r="I80" i="21"/>
  <c r="I14" i="22"/>
  <c r="J14" i="22"/>
  <c r="I50" i="20"/>
  <c r="J50" i="20"/>
  <c r="I37" i="20"/>
  <c r="K37" i="20"/>
  <c r="I66" i="21"/>
  <c r="J66" i="21"/>
  <c r="H65" i="19"/>
  <c r="H57" i="19"/>
  <c r="I102" i="20"/>
  <c r="J102" i="20"/>
  <c r="I98" i="20"/>
  <c r="K98" i="20"/>
  <c r="I41" i="21"/>
  <c r="K41" i="21"/>
  <c r="H64" i="19"/>
  <c r="H51" i="19"/>
  <c r="H63" i="19"/>
  <c r="I80" i="20"/>
  <c r="K80" i="20"/>
  <c r="I82" i="21"/>
  <c r="J82" i="21"/>
  <c r="G59" i="21"/>
  <c r="J59" i="21"/>
  <c r="F82" i="20"/>
  <c r="I17" i="20"/>
  <c r="K17" i="20"/>
  <c r="I31" i="22"/>
  <c r="J31" i="22"/>
  <c r="G20" i="21"/>
  <c r="G34" i="22"/>
  <c r="I88" i="20"/>
  <c r="J88" i="20"/>
  <c r="I84" i="20"/>
  <c r="I72" i="21"/>
  <c r="I64" i="21"/>
  <c r="K64" i="21"/>
  <c r="I62" i="21"/>
  <c r="J62" i="21"/>
  <c r="K62" i="21"/>
  <c r="F108" i="20"/>
  <c r="I43" i="21"/>
  <c r="K43" i="21"/>
  <c r="H26" i="24"/>
  <c r="M26" i="24"/>
  <c r="G59" i="19"/>
  <c r="C3" i="28"/>
  <c r="D59" i="20"/>
  <c r="B4" i="7"/>
  <c r="D2" i="37"/>
  <c r="B3" i="16"/>
  <c r="D2" i="22"/>
  <c r="D2" i="20"/>
  <c r="C3" i="29"/>
  <c r="B3" i="18"/>
  <c r="B3" i="31"/>
  <c r="C3" i="27"/>
  <c r="D3" i="21"/>
  <c r="D53" i="21"/>
  <c r="D52" i="25"/>
  <c r="E4" i="6"/>
  <c r="C2" i="32"/>
  <c r="C3" i="19"/>
  <c r="I27" i="22"/>
  <c r="K27" i="22"/>
  <c r="I18" i="22"/>
  <c r="J18" i="22"/>
  <c r="K9" i="37"/>
  <c r="J22" i="37"/>
  <c r="H19" i="24"/>
  <c r="M19" i="24"/>
  <c r="H39" i="24"/>
  <c r="M39" i="24"/>
  <c r="H36" i="24"/>
  <c r="M36" i="24"/>
  <c r="D21" i="24"/>
  <c r="H83" i="24"/>
  <c r="M83" i="24"/>
  <c r="H46" i="24"/>
  <c r="M46" i="24"/>
  <c r="H80" i="24"/>
  <c r="M80" i="24"/>
  <c r="H49" i="24"/>
  <c r="M49" i="24"/>
  <c r="H88" i="24"/>
  <c r="M88" i="24"/>
  <c r="H90" i="24"/>
  <c r="M90" i="24"/>
  <c r="H85" i="24"/>
  <c r="M85" i="24"/>
  <c r="H82" i="24"/>
  <c r="M82" i="24"/>
  <c r="E51" i="24"/>
  <c r="G80" i="25"/>
  <c r="H80" i="25"/>
  <c r="H39" i="23"/>
  <c r="M39" i="23"/>
  <c r="H26" i="23"/>
  <c r="M26" i="23"/>
  <c r="H83" i="23"/>
  <c r="G23" i="25"/>
  <c r="H23" i="25"/>
  <c r="N82" i="25"/>
  <c r="O82" i="25"/>
  <c r="H49" i="23"/>
  <c r="N49" i="23"/>
  <c r="L46" i="25"/>
  <c r="N46" i="25"/>
  <c r="O46" i="25"/>
  <c r="H36" i="23"/>
  <c r="M36" i="23"/>
  <c r="H69" i="23"/>
  <c r="M69" i="23"/>
  <c r="H78" i="23"/>
  <c r="M78" i="23"/>
  <c r="G67" i="25"/>
  <c r="H67" i="25"/>
  <c r="H64" i="23"/>
  <c r="H47" i="23"/>
  <c r="N47" i="23"/>
  <c r="L44" i="25"/>
  <c r="N44" i="25"/>
  <c r="O44" i="25"/>
  <c r="H67" i="23"/>
  <c r="M67" i="23"/>
  <c r="G26" i="25"/>
  <c r="H26" i="25"/>
  <c r="H37" i="23"/>
  <c r="M37" i="23"/>
  <c r="H46" i="23"/>
  <c r="N46" i="23"/>
  <c r="L43" i="25"/>
  <c r="N43" i="25"/>
  <c r="O43" i="25"/>
  <c r="E21" i="23"/>
  <c r="G44" i="25"/>
  <c r="H88" i="23"/>
  <c r="G75" i="25"/>
  <c r="H75" i="25"/>
  <c r="G62" i="25"/>
  <c r="G82" i="25"/>
  <c r="H82" i="25"/>
  <c r="G46" i="25"/>
  <c r="H46" i="25"/>
  <c r="H80" i="23"/>
  <c r="M80" i="23"/>
  <c r="G43" i="25"/>
  <c r="G77" i="25"/>
  <c r="H77" i="25"/>
  <c r="H29" i="24"/>
  <c r="M29" i="24"/>
  <c r="H24" i="24"/>
  <c r="M64" i="25"/>
  <c r="I19" i="22"/>
  <c r="J19" i="22"/>
  <c r="D91" i="20"/>
  <c r="I37" i="21"/>
  <c r="K37" i="21"/>
  <c r="I25" i="22"/>
  <c r="K25" i="22"/>
  <c r="G23" i="17"/>
  <c r="E26" i="20"/>
  <c r="E110" i="20"/>
  <c r="I62" i="20"/>
  <c r="G22" i="25"/>
  <c r="H22" i="25"/>
  <c r="D33" i="17"/>
  <c r="E23" i="17"/>
  <c r="D68" i="21"/>
  <c r="F21" i="24"/>
  <c r="I86" i="20"/>
  <c r="E91" i="20"/>
  <c r="F34" i="22"/>
  <c r="J37" i="10"/>
  <c r="D41" i="20"/>
  <c r="E84" i="21"/>
  <c r="D20" i="21"/>
  <c r="I67" i="20"/>
  <c r="K67" i="20"/>
  <c r="F52" i="20"/>
  <c r="G41" i="20"/>
  <c r="J53" i="10"/>
  <c r="J17" i="10"/>
  <c r="J18" i="10"/>
  <c r="M10" i="10"/>
  <c r="G108" i="20"/>
  <c r="D108" i="20"/>
  <c r="F46" i="21"/>
  <c r="I77" i="21"/>
  <c r="K77" i="21"/>
  <c r="I26" i="21"/>
  <c r="K26" i="21"/>
  <c r="G26" i="10"/>
  <c r="J16" i="10"/>
  <c r="G44" i="10"/>
  <c r="D2" i="24"/>
  <c r="G9" i="10"/>
  <c r="D1" i="10"/>
  <c r="F55" i="19"/>
  <c r="F65" i="19"/>
  <c r="F66" i="19"/>
  <c r="G54" i="19"/>
  <c r="G64" i="19"/>
  <c r="G55" i="19"/>
  <c r="G65" i="19"/>
  <c r="G66" i="19"/>
  <c r="G67" i="19"/>
  <c r="F33" i="17"/>
  <c r="E51" i="17"/>
  <c r="G24" i="13"/>
  <c r="F35" i="13"/>
  <c r="H35" i="13"/>
  <c r="G29" i="10"/>
  <c r="G37" i="10"/>
  <c r="G11" i="10"/>
  <c r="G18" i="10"/>
  <c r="G45" i="10"/>
  <c r="G27" i="10"/>
  <c r="M8" i="10"/>
  <c r="J33" i="10"/>
  <c r="D35" i="10"/>
  <c r="D33" i="10"/>
  <c r="M26" i="10"/>
  <c r="D34" i="10"/>
  <c r="D17" i="10"/>
  <c r="M29" i="10"/>
  <c r="M37" i="10"/>
  <c r="M46" i="10"/>
  <c r="D36" i="10"/>
  <c r="D52" i="10"/>
  <c r="D51" i="10"/>
  <c r="J34" i="10"/>
  <c r="G46" i="10"/>
  <c r="J35" i="10"/>
  <c r="J52" i="10"/>
  <c r="G47" i="10"/>
  <c r="G55" i="10"/>
  <c r="J51" i="10"/>
  <c r="K27" i="10"/>
  <c r="K25" i="10"/>
  <c r="L25" i="10"/>
  <c r="G12" i="13"/>
  <c r="K26" i="10"/>
  <c r="L26" i="10"/>
  <c r="I13" i="13"/>
  <c r="E8" i="10"/>
  <c r="J15" i="13"/>
  <c r="E9" i="10"/>
  <c r="F9" i="10"/>
  <c r="H13" i="13"/>
  <c r="K10" i="10"/>
  <c r="L10" i="10"/>
  <c r="E10" i="10"/>
  <c r="I14" i="13"/>
  <c r="I20" i="13"/>
  <c r="K9" i="10"/>
  <c r="L9" i="10"/>
  <c r="H14" i="13"/>
  <c r="J12" i="13"/>
  <c r="C30" i="13"/>
  <c r="I11" i="13"/>
  <c r="J14" i="13"/>
  <c r="K7" i="10"/>
  <c r="L7" i="10"/>
  <c r="K28" i="10"/>
  <c r="L28" i="10"/>
  <c r="G14" i="13"/>
  <c r="H12" i="13"/>
  <c r="H15" i="13"/>
  <c r="H20" i="13"/>
  <c r="K43" i="10"/>
  <c r="L43" i="10"/>
  <c r="G15" i="13"/>
  <c r="J13" i="13"/>
  <c r="E26" i="10"/>
  <c r="F26" i="10"/>
  <c r="E47" i="10"/>
  <c r="E55" i="10"/>
  <c r="F55" i="10"/>
  <c r="E48" i="10"/>
  <c r="F48" i="10"/>
  <c r="H11" i="13"/>
  <c r="E43" i="10"/>
  <c r="F43" i="10"/>
  <c r="E46" i="10"/>
  <c r="E52" i="10"/>
  <c r="F52" i="10"/>
  <c r="E44" i="10"/>
  <c r="F44" i="10"/>
  <c r="E28" i="10"/>
  <c r="F28" i="10"/>
  <c r="E25" i="10"/>
  <c r="F25" i="10"/>
  <c r="K46" i="10"/>
  <c r="L46" i="10"/>
  <c r="K44" i="10"/>
  <c r="L44" i="10"/>
  <c r="E45" i="10"/>
  <c r="F45" i="10"/>
  <c r="K63" i="21"/>
  <c r="K22" i="21"/>
  <c r="K78" i="21"/>
  <c r="J105" i="20"/>
  <c r="F20" i="26"/>
  <c r="J35" i="20"/>
  <c r="J70" i="20"/>
  <c r="J17" i="20"/>
  <c r="K50" i="20"/>
  <c r="H37" i="14"/>
  <c r="J32" i="20"/>
  <c r="K44" i="20"/>
  <c r="K33" i="20"/>
  <c r="K46" i="20"/>
  <c r="J106" i="20"/>
  <c r="J80" i="20"/>
  <c r="M49" i="23"/>
  <c r="J72" i="21"/>
  <c r="K72" i="21"/>
  <c r="M47" i="23"/>
  <c r="J24" i="21"/>
  <c r="J101" i="20"/>
  <c r="K101" i="20"/>
  <c r="N64" i="23"/>
  <c r="N26" i="23"/>
  <c r="L23" i="25"/>
  <c r="N23" i="25"/>
  <c r="O23" i="25"/>
  <c r="M85" i="23"/>
  <c r="M46" i="23"/>
  <c r="N36" i="23"/>
  <c r="L33" i="25"/>
  <c r="N33" i="25"/>
  <c r="O33" i="25"/>
  <c r="N80" i="23"/>
  <c r="N88" i="23"/>
  <c r="L85" i="25"/>
  <c r="N85" i="25"/>
  <c r="O85" i="25"/>
  <c r="M88" i="23"/>
  <c r="K86" i="20"/>
  <c r="J86" i="20"/>
  <c r="J77" i="21"/>
  <c r="J37" i="21"/>
  <c r="J77" i="20"/>
  <c r="K85" i="20"/>
  <c r="G36" i="10"/>
  <c r="G35" i="10"/>
  <c r="G54" i="10"/>
  <c r="N37" i="23"/>
  <c r="L34" i="25"/>
  <c r="N34" i="25"/>
  <c r="O34" i="25"/>
  <c r="I9" i="20"/>
  <c r="D64" i="20"/>
  <c r="D84" i="21"/>
  <c r="I73" i="21"/>
  <c r="K73" i="21"/>
  <c r="G35" i="21"/>
  <c r="H86" i="21"/>
  <c r="D28" i="21"/>
  <c r="E20" i="21"/>
  <c r="H86" i="24"/>
  <c r="M86" i="24"/>
  <c r="H73" i="24"/>
  <c r="M73" i="24"/>
  <c r="F76" i="24"/>
  <c r="H70" i="24"/>
  <c r="H68" i="24"/>
  <c r="H48" i="24"/>
  <c r="M48" i="24"/>
  <c r="H30" i="24"/>
  <c r="M30" i="24"/>
  <c r="H28" i="24"/>
  <c r="M28" i="24"/>
  <c r="F21" i="23"/>
  <c r="H19" i="23"/>
  <c r="N19" i="23"/>
  <c r="E34" i="22"/>
  <c r="I24" i="22"/>
  <c r="G68" i="25"/>
  <c r="H68" i="25"/>
  <c r="E51" i="23"/>
  <c r="F42" i="23"/>
  <c r="G34" i="25"/>
  <c r="H34" i="25"/>
  <c r="H27" i="23"/>
  <c r="N27" i="23"/>
  <c r="G24" i="25"/>
  <c r="H24" i="25"/>
  <c r="F32" i="23"/>
  <c r="H24" i="23"/>
  <c r="M24" i="23"/>
  <c r="K89" i="25"/>
  <c r="M34" i="25"/>
  <c r="D82" i="20"/>
  <c r="E52" i="20"/>
  <c r="I43" i="20"/>
  <c r="F41" i="20"/>
  <c r="G26" i="20"/>
  <c r="G24" i="34"/>
  <c r="G32" i="34"/>
  <c r="G39" i="33"/>
  <c r="G41" i="33"/>
  <c r="G48" i="10"/>
  <c r="D54" i="10"/>
  <c r="D55" i="10"/>
  <c r="D53" i="10"/>
  <c r="E68" i="21"/>
  <c r="G51" i="17"/>
  <c r="I97" i="20"/>
  <c r="K97" i="20"/>
  <c r="D21" i="23"/>
  <c r="H17" i="23"/>
  <c r="M17" i="23"/>
  <c r="M21" i="23"/>
  <c r="J54" i="10"/>
  <c r="I24" i="13"/>
  <c r="I35" i="13"/>
  <c r="B4" i="13"/>
  <c r="J73" i="21"/>
  <c r="M68" i="24"/>
  <c r="L24" i="25"/>
  <c r="N24" i="25"/>
  <c r="O24" i="25"/>
  <c r="J76" i="20"/>
  <c r="K76" i="20"/>
  <c r="J63" i="21"/>
  <c r="I68" i="21"/>
  <c r="I31" i="21"/>
  <c r="F35" i="21"/>
  <c r="H82" i="23"/>
  <c r="M70" i="24"/>
  <c r="K88" i="20"/>
  <c r="M64" i="23"/>
  <c r="K82" i="21"/>
  <c r="J75" i="20"/>
  <c r="K75" i="20"/>
  <c r="K65" i="21"/>
  <c r="J65" i="21"/>
  <c r="J79" i="20"/>
  <c r="K79" i="20"/>
  <c r="K44" i="21"/>
  <c r="G83" i="25"/>
  <c r="H83" i="25"/>
  <c r="H86" i="23"/>
  <c r="N86" i="23"/>
  <c r="L83" i="25"/>
  <c r="N83" i="25"/>
  <c r="O83" i="25"/>
  <c r="G53" i="10"/>
  <c r="G52" i="10"/>
  <c r="J67" i="20"/>
  <c r="I47" i="20"/>
  <c r="J47" i="20"/>
  <c r="D52" i="20"/>
  <c r="I38" i="21"/>
  <c r="J38" i="21"/>
  <c r="K80" i="21"/>
  <c r="J80" i="21"/>
  <c r="J64" i="21"/>
  <c r="M36" i="10"/>
  <c r="G79" i="25"/>
  <c r="M89" i="25"/>
  <c r="I21" i="26"/>
  <c r="H79" i="23"/>
  <c r="M79" i="23"/>
  <c r="G8" i="10"/>
  <c r="D15" i="10"/>
  <c r="G33" i="16"/>
  <c r="G33" i="17"/>
  <c r="G42" i="17"/>
  <c r="G54" i="17"/>
  <c r="D23" i="17"/>
  <c r="D42" i="17"/>
  <c r="J74" i="20"/>
  <c r="K84" i="20"/>
  <c r="J84" i="20"/>
  <c r="J24" i="13"/>
  <c r="J15" i="10"/>
  <c r="I16" i="22"/>
  <c r="K16" i="22"/>
  <c r="I68" i="20"/>
  <c r="I66" i="20"/>
  <c r="I48" i="20"/>
  <c r="I28" i="22"/>
  <c r="I34" i="22"/>
  <c r="I36" i="22"/>
  <c r="I81" i="21"/>
  <c r="J81" i="21"/>
  <c r="I79" i="21"/>
  <c r="J79" i="21"/>
  <c r="H44" i="25"/>
  <c r="E27" i="10"/>
  <c r="D19" i="10"/>
  <c r="M9" i="10"/>
  <c r="I104" i="20"/>
  <c r="K104" i="20"/>
  <c r="D34" i="22"/>
  <c r="D36" i="22"/>
  <c r="D22" i="22"/>
  <c r="E21" i="24"/>
  <c r="G46" i="21"/>
  <c r="H32" i="19"/>
  <c r="G38" i="19"/>
  <c r="G58" i="19"/>
  <c r="G60" i="19"/>
  <c r="G71" i="19"/>
  <c r="I96" i="20"/>
  <c r="F91" i="20"/>
  <c r="I71" i="20"/>
  <c r="I69" i="20"/>
  <c r="K69" i="20"/>
  <c r="I34" i="20"/>
  <c r="J34" i="20"/>
  <c r="F26" i="20"/>
  <c r="I49" i="20"/>
  <c r="K49" i="20"/>
  <c r="G52" i="20"/>
  <c r="I39" i="20"/>
  <c r="J39" i="20"/>
  <c r="I70" i="21"/>
  <c r="K70" i="21"/>
  <c r="I42" i="21"/>
  <c r="K42" i="21"/>
  <c r="I30" i="21"/>
  <c r="I15" i="21"/>
  <c r="J15" i="21"/>
  <c r="H29" i="23"/>
  <c r="N29" i="23"/>
  <c r="L26" i="25"/>
  <c r="N26" i="25"/>
  <c r="O26" i="25"/>
  <c r="H38" i="24"/>
  <c r="M38" i="24"/>
  <c r="I103" i="20"/>
  <c r="K103" i="20"/>
  <c r="G82" i="20"/>
  <c r="G110" i="20"/>
  <c r="I15" i="20"/>
  <c r="J15" i="20"/>
  <c r="E28" i="21"/>
  <c r="I92" i="23"/>
  <c r="J9" i="37"/>
  <c r="G13" i="13"/>
  <c r="K45" i="10"/>
  <c r="L45" i="10"/>
  <c r="L9" i="37"/>
  <c r="I95" i="20"/>
  <c r="J95" i="20"/>
  <c r="E82" i="20"/>
  <c r="K47" i="20"/>
  <c r="K31" i="21"/>
  <c r="J31" i="21"/>
  <c r="K81" i="21"/>
  <c r="I33" i="19"/>
  <c r="K95" i="20"/>
  <c r="K66" i="20"/>
  <c r="J69" i="20"/>
  <c r="K68" i="20"/>
  <c r="J68" i="20"/>
  <c r="K15" i="21"/>
  <c r="K15" i="20"/>
  <c r="J71" i="20"/>
  <c r="K71" i="20"/>
  <c r="K39" i="20"/>
  <c r="K38" i="21"/>
  <c r="M82" i="23"/>
  <c r="N82" i="23"/>
  <c r="L79" i="25"/>
  <c r="N79" i="25"/>
  <c r="O79" i="25"/>
  <c r="J48" i="20"/>
  <c r="K48" i="20"/>
  <c r="J70" i="21"/>
  <c r="J103" i="20"/>
  <c r="J96" i="20"/>
  <c r="K96" i="20"/>
  <c r="H23" i="11"/>
  <c r="H33" i="11"/>
  <c r="D32" i="11"/>
  <c r="G28" i="11"/>
  <c r="G25" i="11"/>
  <c r="H32" i="11"/>
  <c r="H25" i="11"/>
  <c r="H28" i="11"/>
  <c r="H31" i="11"/>
  <c r="H30" i="11"/>
  <c r="H29" i="11"/>
  <c r="H26" i="11"/>
  <c r="H27" i="11"/>
  <c r="H22" i="11"/>
  <c r="D53" i="11"/>
  <c r="F33" i="11"/>
  <c r="F28" i="11"/>
  <c r="G22" i="11"/>
  <c r="F31" i="11"/>
  <c r="G30" i="11"/>
  <c r="F25" i="11"/>
  <c r="F30" i="11"/>
  <c r="G29" i="11"/>
  <c r="G24" i="11"/>
  <c r="G26" i="11"/>
  <c r="F27" i="11"/>
  <c r="F23" i="11"/>
  <c r="G53" i="11"/>
  <c r="J35" i="12"/>
  <c r="J39" i="12"/>
  <c r="H29" i="17"/>
  <c r="F24" i="11"/>
  <c r="F26" i="11"/>
  <c r="F22" i="11"/>
  <c r="G32" i="11"/>
  <c r="F53" i="11"/>
  <c r="G31" i="11"/>
  <c r="G33" i="11"/>
  <c r="G34" i="11"/>
  <c r="G27" i="11"/>
  <c r="F32" i="11"/>
  <c r="H48" i="25"/>
  <c r="J19" i="13"/>
  <c r="E7" i="10"/>
  <c r="F7" i="10"/>
  <c r="E6" i="10"/>
  <c r="I19" i="13"/>
  <c r="F18" i="13"/>
  <c r="G20" i="13"/>
  <c r="K8" i="10"/>
  <c r="G11" i="13"/>
  <c r="G17" i="13"/>
  <c r="G22" i="13"/>
  <c r="G30" i="13"/>
  <c r="G32" i="13"/>
  <c r="G33" i="13"/>
  <c r="I12" i="13"/>
  <c r="I17" i="13"/>
  <c r="I22" i="13"/>
  <c r="I30" i="13"/>
  <c r="I32" i="13"/>
  <c r="I33" i="13"/>
  <c r="H17" i="13"/>
  <c r="H22" i="13"/>
  <c r="H30" i="13"/>
  <c r="H32" i="13"/>
  <c r="H33" i="13"/>
  <c r="G18" i="13"/>
  <c r="E51" i="10"/>
  <c r="F51" i="10"/>
  <c r="F46" i="10"/>
  <c r="K12" i="13"/>
  <c r="J17" i="13"/>
  <c r="J22" i="13"/>
  <c r="J30" i="13"/>
  <c r="J32" i="13"/>
  <c r="J33" i="13"/>
  <c r="J20" i="13"/>
  <c r="H18" i="13"/>
  <c r="K13" i="13"/>
  <c r="F27" i="10"/>
  <c r="K6" i="10"/>
  <c r="F8" i="10"/>
  <c r="K14" i="13"/>
  <c r="K42" i="10"/>
  <c r="L8" i="10"/>
  <c r="G19" i="13"/>
  <c r="I18" i="13"/>
  <c r="E53" i="10"/>
  <c r="F53" i="10"/>
  <c r="J18" i="13"/>
  <c r="E24" i="10"/>
  <c r="E42" i="10"/>
  <c r="F24" i="10"/>
  <c r="F42" i="10"/>
  <c r="H19" i="13"/>
  <c r="F10" i="10"/>
  <c r="L27" i="10"/>
  <c r="L34" i="26"/>
  <c r="G37" i="19"/>
  <c r="F37" i="19"/>
  <c r="M67" i="24"/>
  <c r="M76" i="24"/>
  <c r="M94" i="24"/>
  <c r="H76" i="24"/>
  <c r="M92" i="24"/>
  <c r="M17" i="24"/>
  <c r="H35" i="24"/>
  <c r="M35" i="24"/>
  <c r="E76" i="24"/>
  <c r="E94" i="24"/>
  <c r="F27" i="28"/>
  <c r="H40" i="24"/>
  <c r="M40" i="24"/>
  <c r="F42" i="24"/>
  <c r="F51" i="24"/>
  <c r="F94" i="24"/>
  <c r="D92" i="24"/>
  <c r="F92" i="24"/>
  <c r="D76" i="24"/>
  <c r="D94" i="24"/>
  <c r="E92" i="24"/>
  <c r="H27" i="24"/>
  <c r="M27" i="24"/>
  <c r="H45" i="24"/>
  <c r="D32" i="24"/>
  <c r="H18" i="24"/>
  <c r="M18" i="24"/>
  <c r="M18" i="23"/>
  <c r="N18" i="23"/>
  <c r="M35" i="23"/>
  <c r="N35" i="23"/>
  <c r="N87" i="23"/>
  <c r="L84" i="25"/>
  <c r="N84" i="25"/>
  <c r="O84" i="25"/>
  <c r="M87" i="23"/>
  <c r="N68" i="23"/>
  <c r="L65" i="25"/>
  <c r="M68" i="23"/>
  <c r="M65" i="23"/>
  <c r="N65" i="23"/>
  <c r="L62" i="25"/>
  <c r="N62" i="25"/>
  <c r="O62" i="25"/>
  <c r="M71" i="23"/>
  <c r="N71" i="23"/>
  <c r="L68" i="25"/>
  <c r="N68" i="25"/>
  <c r="O68" i="25"/>
  <c r="H40" i="23"/>
  <c r="F73" i="23"/>
  <c r="D73" i="23"/>
  <c r="H28" i="23"/>
  <c r="H25" i="23"/>
  <c r="N39" i="23"/>
  <c r="L36" i="25"/>
  <c r="N36" i="25"/>
  <c r="O36" i="25"/>
  <c r="G84" i="25"/>
  <c r="H84" i="25"/>
  <c r="D32" i="23"/>
  <c r="E42" i="23"/>
  <c r="E73" i="23"/>
  <c r="G85" i="25"/>
  <c r="H85" i="25"/>
  <c r="M19" i="23"/>
  <c r="H30" i="23"/>
  <c r="N78" i="23"/>
  <c r="L75" i="25"/>
  <c r="N75" i="25"/>
  <c r="O75" i="25"/>
  <c r="H48" i="23"/>
  <c r="F90" i="23"/>
  <c r="H45" i="23"/>
  <c r="G65" i="25"/>
  <c r="H65" i="25"/>
  <c r="H77" i="23"/>
  <c r="D51" i="23"/>
  <c r="G76" i="25"/>
  <c r="H76" i="25"/>
  <c r="H79" i="25"/>
  <c r="E90" i="23"/>
  <c r="H84" i="23"/>
  <c r="M84" i="23"/>
  <c r="G78" i="25"/>
  <c r="H78" i="25"/>
  <c r="G63" i="25"/>
  <c r="H63" i="25"/>
  <c r="G35" i="25"/>
  <c r="H35" i="25"/>
  <c r="H39" i="25"/>
  <c r="K31" i="20"/>
  <c r="J31" i="20"/>
  <c r="J24" i="20"/>
  <c r="K24" i="20"/>
  <c r="K26" i="22"/>
  <c r="K30" i="20"/>
  <c r="J30" i="20"/>
  <c r="K23" i="20"/>
  <c r="J23" i="20"/>
  <c r="J39" i="21"/>
  <c r="K39" i="21"/>
  <c r="K18" i="20"/>
  <c r="J18" i="20"/>
  <c r="K19" i="20"/>
  <c r="J19" i="20"/>
  <c r="E86" i="21"/>
  <c r="K21" i="20"/>
  <c r="J21" i="20"/>
  <c r="K32" i="21"/>
  <c r="J32" i="21"/>
  <c r="J25" i="21"/>
  <c r="K25" i="21"/>
  <c r="J30" i="22"/>
  <c r="D110" i="20"/>
  <c r="F28" i="21"/>
  <c r="I17" i="22"/>
  <c r="I13" i="20"/>
  <c r="F22" i="22"/>
  <c r="F36" i="22"/>
  <c r="F110" i="20"/>
  <c r="I33" i="21"/>
  <c r="I18" i="21"/>
  <c r="I16" i="21"/>
  <c r="I35" i="21"/>
  <c r="I32" i="22"/>
  <c r="I20" i="22"/>
  <c r="G86" i="21"/>
  <c r="E46" i="21"/>
  <c r="I17" i="21"/>
  <c r="G22" i="22"/>
  <c r="D86" i="21"/>
  <c r="E22" i="22"/>
  <c r="E36" i="22"/>
  <c r="G39" i="19"/>
  <c r="H58" i="19"/>
  <c r="H68" i="19"/>
  <c r="G30" i="18"/>
  <c r="G39" i="18"/>
  <c r="F23" i="17"/>
  <c r="F42" i="17"/>
  <c r="F54" i="17"/>
  <c r="E33" i="17"/>
  <c r="E42" i="17"/>
  <c r="E54" i="17"/>
  <c r="D54" i="17"/>
  <c r="M16" i="10"/>
  <c r="M17" i="10"/>
  <c r="M18" i="10"/>
  <c r="M19" i="10"/>
  <c r="G16" i="10"/>
  <c r="M35" i="10"/>
  <c r="M34" i="10"/>
  <c r="E54" i="10"/>
  <c r="F54" i="10"/>
  <c r="F47" i="10"/>
  <c r="D18" i="10"/>
  <c r="J19" i="10"/>
  <c r="I52" i="20"/>
  <c r="J42" i="21"/>
  <c r="J98" i="20"/>
  <c r="K40" i="21"/>
  <c r="J97" i="20"/>
  <c r="K20" i="20"/>
  <c r="K99" i="20"/>
  <c r="J72" i="20"/>
  <c r="J75" i="21"/>
  <c r="K100" i="20"/>
  <c r="J49" i="20"/>
  <c r="K29" i="20"/>
  <c r="I41" i="20"/>
  <c r="I82" i="20"/>
  <c r="J43" i="21"/>
  <c r="J73" i="20"/>
  <c r="J41" i="21"/>
  <c r="K66" i="21"/>
  <c r="K30" i="21"/>
  <c r="J37" i="20"/>
  <c r="J26" i="21"/>
  <c r="K102" i="20"/>
  <c r="D28" i="33"/>
  <c r="D29" i="33"/>
  <c r="D37" i="33"/>
  <c r="D26" i="33"/>
  <c r="D34" i="33"/>
  <c r="D33" i="33"/>
  <c r="D36" i="33"/>
  <c r="D35" i="33"/>
  <c r="D27" i="33"/>
  <c r="D30" i="33"/>
  <c r="F52" i="19"/>
  <c r="I11" i="21"/>
  <c r="I58" i="21"/>
  <c r="F53" i="19"/>
  <c r="F63" i="19"/>
  <c r="F38" i="19"/>
  <c r="F49" i="19"/>
  <c r="F59" i="19"/>
  <c r="I10" i="22"/>
  <c r="F68" i="19"/>
  <c r="F70" i="19"/>
  <c r="F60" i="19"/>
  <c r="F71" i="19"/>
  <c r="H29" i="25"/>
  <c r="K36" i="20"/>
  <c r="J36" i="20"/>
  <c r="M77" i="23"/>
  <c r="N77" i="23"/>
  <c r="I46" i="21"/>
  <c r="N79" i="23"/>
  <c r="L76" i="25"/>
  <c r="N76" i="25"/>
  <c r="O76" i="25"/>
  <c r="G68" i="19"/>
  <c r="G70" i="19"/>
  <c r="G72" i="19"/>
  <c r="G41" i="19"/>
  <c r="K43" i="20"/>
  <c r="N24" i="23"/>
  <c r="H92" i="24"/>
  <c r="K22" i="20"/>
  <c r="I91" i="20"/>
  <c r="M24" i="24"/>
  <c r="M29" i="23"/>
  <c r="K14" i="20"/>
  <c r="J43" i="20"/>
  <c r="I26" i="20"/>
  <c r="J66" i="20"/>
  <c r="K87" i="20"/>
  <c r="N38" i="23"/>
  <c r="M38" i="23"/>
  <c r="J16" i="20"/>
  <c r="K78" i="20"/>
  <c r="J78" i="20"/>
  <c r="N81" i="23"/>
  <c r="L78" i="25"/>
  <c r="N78" i="25"/>
  <c r="O78" i="25"/>
  <c r="M81" i="23"/>
  <c r="I108" i="20"/>
  <c r="K34" i="20"/>
  <c r="I84" i="21"/>
  <c r="K19" i="22"/>
  <c r="K76" i="21"/>
  <c r="K74" i="21"/>
  <c r="J104" i="20"/>
  <c r="J38" i="20"/>
  <c r="J30" i="21"/>
  <c r="K45" i="20"/>
  <c r="J45" i="20"/>
  <c r="K79" i="21"/>
  <c r="M27" i="23"/>
  <c r="F20" i="21"/>
  <c r="F54" i="19"/>
  <c r="F64" i="19"/>
  <c r="I15" i="22"/>
  <c r="D42" i="23"/>
  <c r="D92" i="23"/>
  <c r="I23" i="21"/>
  <c r="J28" i="20"/>
  <c r="H66" i="23"/>
  <c r="F20" i="13"/>
  <c r="K20" i="13"/>
  <c r="F19" i="13"/>
  <c r="K19" i="13"/>
  <c r="K11" i="13"/>
  <c r="L6" i="10"/>
  <c r="F6" i="10"/>
  <c r="K15" i="13"/>
  <c r="F17" i="13"/>
  <c r="K17" i="13"/>
  <c r="K18" i="13"/>
  <c r="K24" i="10"/>
  <c r="L42" i="10"/>
  <c r="L24" i="10"/>
  <c r="F39" i="19"/>
  <c r="H42" i="24"/>
  <c r="M42" i="24"/>
  <c r="H21" i="24"/>
  <c r="H32" i="24"/>
  <c r="M32" i="24"/>
  <c r="M21" i="24"/>
  <c r="M45" i="24"/>
  <c r="M51" i="24"/>
  <c r="H51" i="24"/>
  <c r="M48" i="23"/>
  <c r="N48" i="23"/>
  <c r="L45" i="25"/>
  <c r="N45" i="25"/>
  <c r="O45" i="25"/>
  <c r="O48" i="25"/>
  <c r="M30" i="23"/>
  <c r="N30" i="23"/>
  <c r="L27" i="25"/>
  <c r="N27" i="25"/>
  <c r="O27" i="25"/>
  <c r="H51" i="23"/>
  <c r="M45" i="23"/>
  <c r="M51" i="23"/>
  <c r="N45" i="23"/>
  <c r="N51" i="23"/>
  <c r="M42" i="23"/>
  <c r="N40" i="23"/>
  <c r="L37" i="25"/>
  <c r="N37" i="25"/>
  <c r="O37" i="25"/>
  <c r="M40" i="23"/>
  <c r="H42" i="23"/>
  <c r="H32" i="23"/>
  <c r="M25" i="23"/>
  <c r="M32" i="23"/>
  <c r="N25" i="23"/>
  <c r="L22" i="25"/>
  <c r="N22" i="25"/>
  <c r="O22" i="25"/>
  <c r="O29" i="25"/>
  <c r="N84" i="23"/>
  <c r="L81" i="25"/>
  <c r="N81" i="25"/>
  <c r="O81" i="25"/>
  <c r="N28" i="23"/>
  <c r="L25" i="25"/>
  <c r="N25" i="25"/>
  <c r="O25" i="25"/>
  <c r="M28" i="23"/>
  <c r="K32" i="22"/>
  <c r="J32" i="22"/>
  <c r="J17" i="21"/>
  <c r="K17" i="21"/>
  <c r="K33" i="21"/>
  <c r="J33" i="21"/>
  <c r="F86" i="21"/>
  <c r="J18" i="21"/>
  <c r="K18" i="21"/>
  <c r="K20" i="22"/>
  <c r="J20" i="22"/>
  <c r="K13" i="20"/>
  <c r="J13" i="20"/>
  <c r="K17" i="22"/>
  <c r="J17" i="22"/>
  <c r="J16" i="21"/>
  <c r="I20" i="21"/>
  <c r="K16" i="21"/>
  <c r="F67" i="19"/>
  <c r="G43" i="19"/>
  <c r="F72" i="19"/>
  <c r="F41" i="19"/>
  <c r="F43" i="19"/>
  <c r="M66" i="23"/>
  <c r="N66" i="23"/>
  <c r="J23" i="21"/>
  <c r="I28" i="21"/>
  <c r="K23" i="21"/>
  <c r="N42" i="23"/>
  <c r="L35" i="25"/>
  <c r="K15" i="22"/>
  <c r="J15" i="22"/>
  <c r="I110" i="20"/>
  <c r="F22" i="13"/>
  <c r="K22" i="13"/>
  <c r="F30" i="13"/>
  <c r="F32" i="13"/>
  <c r="H94" i="24"/>
  <c r="N32" i="23"/>
  <c r="I86" i="21"/>
  <c r="N35" i="25"/>
  <c r="L63" i="25"/>
  <c r="N63" i="25"/>
  <c r="O63" i="25"/>
  <c r="F33" i="13"/>
  <c r="K32" i="13"/>
  <c r="K33" i="13"/>
  <c r="H39" i="17"/>
  <c r="O35" i="25"/>
  <c r="O39" i="25"/>
  <c r="M30" i="10"/>
  <c r="M48" i="10"/>
  <c r="M12" i="10"/>
  <c r="M32" i="9"/>
  <c r="E53" i="11"/>
  <c r="H35" i="12"/>
  <c r="H39" i="12"/>
  <c r="H27" i="17"/>
  <c r="H53" i="11"/>
  <c r="K35" i="12"/>
  <c r="K39" i="12"/>
  <c r="H30" i="17"/>
  <c r="D27" i="11"/>
  <c r="C43" i="11"/>
  <c r="D47" i="8"/>
  <c r="J34" i="8"/>
  <c r="M54" i="10"/>
  <c r="M55" i="10"/>
  <c r="G34" i="10"/>
  <c r="G17" i="10"/>
  <c r="G19" i="10"/>
  <c r="E47" i="8"/>
  <c r="E48" i="8"/>
  <c r="H35" i="9"/>
  <c r="H39" i="9"/>
  <c r="K31" i="22"/>
  <c r="J29" i="22"/>
  <c r="J27" i="22"/>
  <c r="G36" i="22"/>
  <c r="J25" i="22"/>
  <c r="K18" i="22"/>
  <c r="J16" i="22"/>
  <c r="I22" i="22"/>
  <c r="K24" i="22"/>
  <c r="J24" i="22"/>
  <c r="K14" i="22"/>
  <c r="I67" i="19"/>
  <c r="I58" i="19"/>
  <c r="I60" i="19"/>
  <c r="I71" i="19"/>
  <c r="H67" i="19"/>
  <c r="H60" i="19"/>
  <c r="H71" i="19"/>
  <c r="H70" i="19"/>
  <c r="H72" i="19"/>
  <c r="H41" i="19"/>
  <c r="I68" i="19"/>
  <c r="I70" i="19"/>
  <c r="I72" i="19"/>
  <c r="I41" i="19"/>
  <c r="H46" i="19"/>
  <c r="H25" i="18"/>
  <c r="G44" i="33"/>
  <c r="H46" i="33"/>
  <c r="G16" i="34"/>
  <c r="G18" i="34"/>
  <c r="G20" i="34"/>
  <c r="I67" i="28"/>
  <c r="L43" i="26"/>
  <c r="H36" i="27"/>
  <c r="F30" i="34"/>
  <c r="H30" i="34"/>
  <c r="L36" i="26"/>
  <c r="H30" i="27"/>
  <c r="F26" i="34"/>
  <c r="H26" i="34"/>
  <c r="H21" i="23"/>
  <c r="N17" i="23"/>
  <c r="N21" i="23"/>
  <c r="K28" i="22"/>
  <c r="J28" i="22"/>
  <c r="D56" i="15"/>
  <c r="G33" i="9"/>
  <c r="G33" i="12"/>
  <c r="H33" i="12"/>
  <c r="H33" i="9"/>
  <c r="I33" i="9"/>
  <c r="M33" i="9"/>
  <c r="K33" i="9"/>
  <c r="I33" i="12"/>
  <c r="J33" i="9"/>
  <c r="J33" i="12"/>
  <c r="G11" i="12"/>
  <c r="K33" i="12"/>
  <c r="L33" i="12"/>
  <c r="L39" i="12"/>
  <c r="H31" i="17"/>
  <c r="C11" i="16"/>
  <c r="L33" i="9"/>
  <c r="L39" i="9"/>
  <c r="L45" i="9"/>
  <c r="L43" i="9"/>
  <c r="F34" i="16"/>
  <c r="H34" i="16"/>
  <c r="F30" i="16"/>
  <c r="H30" i="16"/>
  <c r="F20" i="16"/>
  <c r="H20" i="16"/>
  <c r="F37" i="16"/>
  <c r="H37" i="16"/>
  <c r="F36" i="16"/>
  <c r="H36" i="16"/>
  <c r="F21" i="16"/>
  <c r="H21" i="16"/>
  <c r="F15" i="16"/>
  <c r="F23" i="16"/>
  <c r="H23" i="16"/>
  <c r="F39" i="16"/>
  <c r="H39" i="16"/>
  <c r="F35" i="16"/>
  <c r="H35" i="16"/>
  <c r="F16" i="16"/>
  <c r="H16" i="16"/>
  <c r="F22" i="16"/>
  <c r="H22" i="16"/>
  <c r="F17" i="16"/>
  <c r="H17" i="16"/>
  <c r="F33" i="16"/>
  <c r="H33" i="16"/>
  <c r="F19" i="16"/>
  <c r="H19" i="16"/>
  <c r="F31" i="16"/>
  <c r="H31" i="16"/>
  <c r="F29" i="16"/>
  <c r="F32" i="16"/>
  <c r="H32" i="16"/>
  <c r="F38" i="16"/>
  <c r="H38" i="16"/>
  <c r="F18" i="16"/>
  <c r="H18" i="16"/>
  <c r="G66" i="15"/>
  <c r="G68" i="15"/>
  <c r="G70" i="15"/>
  <c r="G72" i="15"/>
  <c r="G69" i="15"/>
  <c r="G67" i="15"/>
  <c r="G62" i="15"/>
  <c r="G63" i="15"/>
  <c r="G64" i="15"/>
  <c r="G71" i="15"/>
  <c r="G65" i="15"/>
  <c r="G61" i="15"/>
  <c r="H15" i="16"/>
  <c r="H25" i="16"/>
  <c r="F24" i="16"/>
  <c r="H29" i="16"/>
  <c r="H41" i="16"/>
  <c r="I45" i="16"/>
  <c r="F40" i="16"/>
  <c r="I47" i="16"/>
  <c r="H36" i="17"/>
  <c r="H37" i="19"/>
  <c r="H39" i="19"/>
  <c r="H43" i="19"/>
  <c r="H28" i="18"/>
  <c r="H30" i="18"/>
  <c r="H39" i="18"/>
  <c r="G60" i="15"/>
  <c r="G74" i="15"/>
  <c r="G78" i="15"/>
  <c r="H27" i="14"/>
  <c r="E74" i="15"/>
  <c r="G12" i="10"/>
  <c r="M32" i="12"/>
  <c r="M33" i="12"/>
  <c r="H66" i="25"/>
  <c r="H94" i="25"/>
  <c r="M86" i="23"/>
  <c r="H90" i="23"/>
  <c r="N83" i="23"/>
  <c r="L80" i="25"/>
  <c r="N80" i="25"/>
  <c r="O80" i="25"/>
  <c r="F92" i="23"/>
  <c r="K17" i="26"/>
  <c r="H87" i="25"/>
  <c r="M83" i="23"/>
  <c r="M90" i="23"/>
  <c r="N90" i="23"/>
  <c r="E92" i="23"/>
  <c r="F26" i="28"/>
  <c r="F28" i="28"/>
  <c r="L77" i="25"/>
  <c r="N77" i="25"/>
  <c r="O77" i="25"/>
  <c r="O87" i="25"/>
  <c r="N70" i="23"/>
  <c r="L67" i="25"/>
  <c r="N67" i="25"/>
  <c r="O67" i="25"/>
  <c r="N69" i="23"/>
  <c r="L66" i="25"/>
  <c r="H73" i="23"/>
  <c r="H92" i="23"/>
  <c r="I31" i="19"/>
  <c r="I37" i="19"/>
  <c r="I39" i="19"/>
  <c r="I43" i="19"/>
  <c r="H70" i="25"/>
  <c r="H89" i="25"/>
  <c r="H93" i="25"/>
  <c r="N67" i="23"/>
  <c r="L64" i="25"/>
  <c r="N64" i="25"/>
  <c r="O64" i="25"/>
  <c r="G89" i="25"/>
  <c r="H24" i="28"/>
  <c r="H99" i="25"/>
  <c r="K15" i="26"/>
  <c r="K20" i="26"/>
  <c r="H47" i="33"/>
  <c r="H49" i="33"/>
  <c r="H57" i="33"/>
  <c r="I46" i="19"/>
  <c r="I28" i="18"/>
  <c r="N66" i="25"/>
  <c r="O66" i="25"/>
  <c r="H58" i="33"/>
  <c r="H60" i="33"/>
  <c r="L20" i="26"/>
  <c r="I25" i="18"/>
  <c r="I30" i="18"/>
  <c r="O94" i="25"/>
  <c r="K23" i="26"/>
  <c r="L23" i="26"/>
  <c r="N73" i="23"/>
  <c r="N92" i="23"/>
  <c r="F24" i="34"/>
  <c r="L89" i="25"/>
  <c r="N65" i="25"/>
  <c r="O65" i="25"/>
  <c r="O70" i="25"/>
  <c r="O89" i="25"/>
  <c r="O93" i="25"/>
  <c r="M73" i="23"/>
  <c r="M92" i="23"/>
  <c r="H27" i="27"/>
  <c r="O99" i="25"/>
  <c r="H16" i="27"/>
  <c r="J21" i="26"/>
  <c r="L21" i="26"/>
  <c r="L26" i="26"/>
  <c r="H33" i="27"/>
  <c r="F28" i="34"/>
  <c r="H28" i="34"/>
  <c r="N89" i="25"/>
  <c r="H24" i="34"/>
  <c r="K21" i="26"/>
  <c r="K25" i="26"/>
  <c r="F13" i="34"/>
  <c r="H13" i="34"/>
  <c r="F32" i="34"/>
  <c r="H38" i="27"/>
  <c r="H41" i="27"/>
  <c r="H32" i="34"/>
  <c r="H36" i="34"/>
  <c r="J52" i="11"/>
  <c r="I35" i="12"/>
  <c r="I39" i="12"/>
  <c r="H28" i="17"/>
  <c r="F36" i="15"/>
  <c r="F38" i="15"/>
  <c r="F41" i="15"/>
  <c r="J41" i="15"/>
  <c r="J43" i="15"/>
  <c r="H17" i="14"/>
  <c r="H43" i="14"/>
  <c r="H37" i="17"/>
  <c r="G43" i="9"/>
  <c r="G45" i="9"/>
  <c r="H43" i="9"/>
  <c r="H45" i="9"/>
  <c r="E33" i="10"/>
  <c r="F33" i="10"/>
  <c r="E36" i="10"/>
  <c r="F36" i="10"/>
  <c r="E37" i="10"/>
  <c r="F37" i="10"/>
  <c r="F29" i="10"/>
  <c r="E34" i="10"/>
  <c r="F34" i="10"/>
  <c r="E35" i="10"/>
  <c r="F35" i="10"/>
  <c r="K43" i="9"/>
  <c r="K45" i="9"/>
  <c r="K36" i="10"/>
  <c r="L36" i="10"/>
  <c r="K37" i="10"/>
  <c r="L37" i="10"/>
  <c r="K35" i="10"/>
  <c r="L35" i="10"/>
  <c r="K33" i="10"/>
  <c r="L33" i="10"/>
  <c r="K34" i="10"/>
  <c r="L34" i="10"/>
  <c r="L29" i="10"/>
  <c r="K52" i="10"/>
  <c r="L52" i="10"/>
  <c r="K51" i="10"/>
  <c r="L51" i="10"/>
  <c r="K54" i="10"/>
  <c r="L54" i="10"/>
  <c r="L47" i="10"/>
  <c r="K53" i="10"/>
  <c r="L53" i="10"/>
  <c r="K55" i="10"/>
  <c r="L55" i="10"/>
  <c r="J43" i="9"/>
  <c r="J45" i="9"/>
  <c r="J35" i="8"/>
  <c r="J47" i="8"/>
  <c r="I35" i="9"/>
  <c r="I39" i="9"/>
  <c r="J48" i="8"/>
  <c r="M35" i="9"/>
  <c r="M39" i="9"/>
  <c r="M43" i="9"/>
  <c r="M45" i="9"/>
  <c r="L11" i="10"/>
  <c r="K17" i="10"/>
  <c r="L17" i="10"/>
  <c r="K19" i="10"/>
  <c r="L19" i="10"/>
  <c r="K18" i="10"/>
  <c r="L18" i="10"/>
  <c r="K15" i="10"/>
  <c r="L15" i="10"/>
  <c r="K16" i="10"/>
  <c r="L16" i="10"/>
  <c r="E19" i="10"/>
  <c r="F19" i="10"/>
  <c r="F11" i="10"/>
  <c r="E15" i="10"/>
  <c r="F15" i="10"/>
  <c r="E16" i="10"/>
  <c r="F16" i="10"/>
  <c r="E18" i="10"/>
  <c r="F18" i="10"/>
  <c r="E17" i="10"/>
  <c r="F17" i="10"/>
  <c r="I43" i="9"/>
  <c r="I45" i="9"/>
  <c r="J53" i="11"/>
  <c r="M35" i="12"/>
  <c r="M39" i="12"/>
  <c r="G35" i="12"/>
  <c r="G39" i="12"/>
  <c r="H26" i="17"/>
  <c r="H33" i="17"/>
  <c r="H42" i="17"/>
  <c r="H54" i="17"/>
  <c r="H13" i="27"/>
  <c r="F10" i="34"/>
  <c r="H10" i="34"/>
  <c r="F12" i="34"/>
  <c r="H12" i="34"/>
  <c r="H20" i="27"/>
  <c r="H22" i="27"/>
  <c r="H54" i="27"/>
  <c r="H47" i="27"/>
  <c r="H49" i="27"/>
  <c r="H52" i="27"/>
  <c r="H56" i="27"/>
  <c r="G58" i="27"/>
  <c r="F18" i="34"/>
  <c r="F20" i="34"/>
  <c r="H42" i="34"/>
  <c r="H44" i="34"/>
  <c r="H47" i="34"/>
  <c r="H18" i="34"/>
  <c r="H20" i="34"/>
  <c r="H49" i="34"/>
  <c r="H51" i="34"/>
  <c r="G53" i="34"/>
</calcChain>
</file>

<file path=xl/sharedStrings.xml><?xml version="1.0" encoding="utf-8"?>
<sst xmlns="http://schemas.openxmlformats.org/spreadsheetml/2006/main" count="2956" uniqueCount="1548">
  <si>
    <t xml:space="preserve">Class: </t>
  </si>
  <si>
    <t>(You must specify a class before the utility list will populate.)</t>
  </si>
  <si>
    <t>Utility Name:</t>
  </si>
  <si>
    <t>Test Year:</t>
  </si>
  <si>
    <t>After you lock down the spreadsheet you must save and exit before sending the file to the utility.</t>
  </si>
  <si>
    <t>ID Number</t>
  </si>
  <si>
    <t>Year</t>
  </si>
  <si>
    <t>Class</t>
  </si>
  <si>
    <t>Actual</t>
  </si>
  <si>
    <t>Residential</t>
  </si>
  <si>
    <t>Industrial</t>
  </si>
  <si>
    <t>Public Authority</t>
  </si>
  <si>
    <t>Water Rate Increase Application Steps:</t>
  </si>
  <si>
    <t>Hearing - Telephonic Hearing Information</t>
  </si>
  <si>
    <t>Attachment 1 - Listing Of Largest Customers Billed During the Latest 12 Months</t>
  </si>
  <si>
    <t>Attachment 4 - Public Fire Protection Revenue Test Year (Summary)</t>
  </si>
  <si>
    <t>Attachment 5 - Public Fire Protection Revenue Test Year (Detail)</t>
  </si>
  <si>
    <t>Attachment 6 - Private Fire Protection Revenue Test Year</t>
  </si>
  <si>
    <t>Attachment 7 - Operating Revenues Test Year (Summary)</t>
  </si>
  <si>
    <t>Attachment 8 - Taxes Test Year Summary</t>
  </si>
  <si>
    <t>Attachment 9 - Property Tax Equivalent Computation</t>
  </si>
  <si>
    <t>Attachment 11 - Utility Plant in Service</t>
  </si>
  <si>
    <t>Attachment 11a - Contributed Plant</t>
  </si>
  <si>
    <t>Attachment 12 - Depreciation Accrual and Expenses</t>
  </si>
  <si>
    <t>Attachment 13 - Accumulated Depreciation, Contributions In Aid of Construction and Materials &amp; Supplies</t>
  </si>
  <si>
    <t>Attachment 14 - Estimated Rate Base and Increase Requested</t>
  </si>
  <si>
    <t>Attachment 15 - Financing and Debt Summary</t>
  </si>
  <si>
    <t>Attachment 17 - Miscellaneous Information</t>
  </si>
  <si>
    <t>Attachment 19 - Notes</t>
  </si>
  <si>
    <t>Attachment 20 - Step II Increase Requested (only applies to utilities requesting a two step rate case)</t>
  </si>
  <si>
    <t>Attachment 21 - Step II Summary</t>
  </si>
  <si>
    <t>Attachment 22 - Step II Notes</t>
  </si>
  <si>
    <t>Hearing – Telephonic Hearing Information</t>
  </si>
  <si>
    <t>Attachment 1 – Listing of Largest Customers Billed During Latest 12 Months</t>
  </si>
  <si>
    <t>Attachment 4 – Public Fire Protection Revenue-Test Year (Summary)</t>
  </si>
  <si>
    <t>Attachment 5 – Public Fire Protection Revenue-Test Year (Detail)</t>
  </si>
  <si>
    <t>Attachment 6 – Private Fire Protection Revenue-Test Year</t>
  </si>
  <si>
    <t>Attachment 7 – Operating Revenues-Test Year (Summary)</t>
  </si>
  <si>
    <t>Attachment 8 – Taxes-Test Year Summary</t>
  </si>
  <si>
    <t>Attachment 10 – Operating Expenses</t>
  </si>
  <si>
    <t>Attachment 11 and 11a– Utility Plant in Service</t>
  </si>
  <si>
    <t>Attachment 12 – Depreciation Accrual and Expenses</t>
  </si>
  <si>
    <t>Attachment 14 – Estimated Rate Base and Increase Requested</t>
  </si>
  <si>
    <t>Attachment 15 – Financing and Debt Summary</t>
  </si>
  <si>
    <t>Attachment 17 – Miscellaneous Information</t>
  </si>
  <si>
    <t>Attachment 22 – Step II Notes</t>
  </si>
  <si>
    <t>Run Final Edit</t>
  </si>
  <si>
    <t>a.</t>
  </si>
  <si>
    <t>b.</t>
  </si>
  <si>
    <t>c.</t>
  </si>
  <si>
    <t>Complete the section for persons that can be contacted regarding this application.</t>
  </si>
  <si>
    <t>d.</t>
  </si>
  <si>
    <t>e.</t>
  </si>
  <si>
    <t xml:space="preserve">Instructions for completion are contained within the form. </t>
  </si>
  <si>
    <t>List the billed units consistent with Schedule Mg-1 in your tariff sheets.</t>
  </si>
  <si>
    <t>During the last 12 month period, identify the highest consumption billed for each of the four largest customers in each class.</t>
  </si>
  <si>
    <t xml:space="preserve"> </t>
  </si>
  <si>
    <t>If the utility uses a non-computerized billing program, contact the PSC for assistance in how to determine the volume distribution into rate blocks.</t>
  </si>
  <si>
    <t>Units are the total of all units billed, net of any adjustments, for the latest 12 months.</t>
  </si>
  <si>
    <t>f.</t>
  </si>
  <si>
    <t>g.</t>
  </si>
  <si>
    <t>Changes in usage by large customers and variations in usage by all customers due to weather should also be considered.</t>
  </si>
  <si>
    <t>Attachment 4 – Public Fire Protection Revenue-Test Year Summary</t>
  </si>
  <si>
    <t>For a Municipal Charge based upon mains and/or hydrants or Direct Charges to Customers based upon equivalent meters or equivalent services, the test year estimate is derived from Attachment 5.</t>
  </si>
  <si>
    <t>For all other charges, insert the test year estimate in the amount column.</t>
  </si>
  <si>
    <t>Attachment 5 – Public Fire Protection Revenue-Test Year Detail</t>
  </si>
  <si>
    <t>i.    Base units and charges are obtained from the current tariff sheet, typically Schedule F-1.</t>
  </si>
  <si>
    <t>ii.   Net additions for mains and hydrants units are derived from Attachment 17, Part One.</t>
  </si>
  <si>
    <t>Attachment 6 – Private Fire Protection Revenue-Test Year Detail</t>
  </si>
  <si>
    <t>To compute the test year Private Fire Protection Revenue, complete the applicable sections.</t>
  </si>
  <si>
    <t>The Authorized Rates are obtained from the current tariff sheet, typically Schedule Upf-1.</t>
  </si>
  <si>
    <t>Enter the test year Average Number of Connections, based on size of the connection.</t>
  </si>
  <si>
    <t>Where a credit is authorized for general service branches off the private fire connection, list the average number of meters each billing period that meet the criteria.</t>
  </si>
  <si>
    <t>The authorized meter rates in this section are derived from Attachment 3.</t>
  </si>
  <si>
    <t>If a credit is authorized for general service branches, enter the appropriate percent in the highlighted area.</t>
  </si>
  <si>
    <t>h.</t>
  </si>
  <si>
    <t>Attachment 7 – Operating Revenues-Test Year Summary</t>
  </si>
  <si>
    <t>Test year revenue estimated amounts are derived for the following:  Metered Sales to General Customers; Private Fire Protection; and Public Fire Protection.</t>
  </si>
  <si>
    <t>“Interim year” and other test year estimates should be based upon historical trends and other relevant information.</t>
  </si>
  <si>
    <t>The test year and interim year meter allocations to the sewer department are based upon 50 percent of the beginning of year meter balance (Attachment 11, Account 346), the assessment ratio (Attachment 9) and the current year net local and school mill rate (Attachment 9).</t>
  </si>
  <si>
    <t>i.   If the meter allocation is other than 50 percent, insert the appropriate percentage in the cell formula.</t>
  </si>
  <si>
    <t xml:space="preserve">ii.  If the sewer department does not use the water utility’s meter readings in determining the sewer billing, then enter 0 (zero). </t>
  </si>
  <si>
    <t>The units added or retired for feet of main and number of hydrants must be provided in Attachment 17.</t>
  </si>
  <si>
    <t>Depreciation on contributed plant will not be included in expenses for rate making purposes.</t>
  </si>
  <si>
    <t xml:space="preserve">Major Construction Additions shown in Attachment 11 result in a full year depreciation accrual and expense effect for the test year. </t>
  </si>
  <si>
    <t>Attachment 14 – Estimated Rate Base, Requested Rate of Return and Increase Requested</t>
  </si>
  <si>
    <t>Part One calculates the net operating income (loss) for the test year.  All amounts are derived from other attachments except Amortization Expense, Account 404, which, if applicable, must be entered and the purpose specified.</t>
  </si>
  <si>
    <t>Part Two is a calculation of the Average Net Investment Rate Base for the test year.  All amounts are derived from other attachments.</t>
  </si>
  <si>
    <t>Part Three calculates the estimated requested increase.</t>
  </si>
  <si>
    <t>i.   Enter a requested rate of return (ROR) in the highlighted box and the estimated increase is calculated.</t>
  </si>
  <si>
    <t xml:space="preserve">iii.  If the PSC determines that the requested ROR is not within this guideline, or requires use of other criteria, the PSC may recommend a different ROR. </t>
  </si>
  <si>
    <t>Identify the sources of financing plant additions for the interim and the test years.  Use the descriptions provided or specify other types of financing.</t>
  </si>
  <si>
    <t>i.   Include the corresponding annual interest, either accrued or payable, for each issue.</t>
  </si>
  <si>
    <t>ii.  A summary in total is acceptable if the utility has debt information available by issue and can scan and/or insert the information to this Attachment.  An attachment filed on ERF is also acceptable.</t>
  </si>
  <si>
    <t xml:space="preserve">  iii. All debt issues for all utility departments and non-utility sewer departments reported in the PSC annual report must be included unless a separate balance sheet and income statement are provided.</t>
  </si>
  <si>
    <t xml:space="preserve">Attachment 17 – Miscellaneous </t>
  </si>
  <si>
    <t>Indicate the utility's preferred method for lateral installation charges.</t>
  </si>
  <si>
    <t>Enter the method for delinquent bill charges.</t>
  </si>
  <si>
    <t>Indicate the method for recovering public fire protection charges.</t>
  </si>
  <si>
    <t>Space is available to request additional tariff changes.</t>
  </si>
  <si>
    <t>Instructions for completing this schedule are contained within the form.</t>
  </si>
  <si>
    <t>This attachment is to be used to describe any assumptions used by the utility in forecasting, describing any unusual situations, significant variations from historical, etc., in Attachments 1-18.</t>
  </si>
  <si>
    <t>Attachment 20 – Step II Major Plant Detail</t>
  </si>
  <si>
    <t>If a major project will be completed (even though final costs will be paid later) and placed into service before the end of the test year, then the entire major project costs should be included in Attachment 11, and is not a Step II major project.</t>
  </si>
  <si>
    <t>Summary of Step II major plant additions:</t>
  </si>
  <si>
    <t>The Calculated Tax Equivalent—Step II is based upon the net taxable plant, the test year assessment ratio (from Attachment 9), and the net local and school rate (from Attachment 9).</t>
  </si>
  <si>
    <t>If dollars are added for mains and/or hydrants, the units added or retired for feet of main and number of hydrants must be provided.</t>
  </si>
  <si>
    <t>Attachment 21 – Step II Summary</t>
  </si>
  <si>
    <t>This schedule summarizes information that represents Step I estimates for the test year and are derived from Attachment 14.</t>
  </si>
  <si>
    <t>The Step II Additional column has amounts derived from Attachment 20 for Depreciation Expense, Taxes, Utility Plant in Service, and Accumulated Depreciation.</t>
  </si>
  <si>
    <t>In Part One:</t>
  </si>
  <si>
    <t xml:space="preserve">ii.   Please note that the ROR in Step II can be different than requested in Attachment 14 (Step I). </t>
  </si>
  <si>
    <t xml:space="preserve">iv.  If the PSC determines that the requested ROR is not within this guideline, or requires use of other criteria, the PSC may recommend a different ROR. </t>
  </si>
  <si>
    <t xml:space="preserve">If necessary, please describe unusual situations in the Notes (Attachment 22). </t>
  </si>
  <si>
    <t>This attachment is to be used to describe any assumptions used by the utility in forecasting or describing any Step II items in Attachments 20 and 21.</t>
  </si>
  <si>
    <t>Describe, in particular, Step II additional revenue or operation and maintenance expense forecasted in Attachment 21.</t>
  </si>
  <si>
    <t>If necessary, include other general discussion that may be helpful regarding Step II items.</t>
  </si>
  <si>
    <t>The Final Edit must be completed prior to submitting the application to the PSC.  RERUN as many times as necessary.</t>
  </si>
  <si>
    <t>Attachment 23 – Filing the Application to Increase Water Rates (Rate Application)</t>
  </si>
  <si>
    <t>using the PSC's Electronic Regulatory Filing (ERF) System</t>
  </si>
  <si>
    <t>An internet connection is required for uploading files, and Internet Explorer 5.0 or above.</t>
  </si>
  <si>
    <t xml:space="preserve">To submit filings to the PSC a user must create an account by specifying his or her name, email address, logon id and password.     </t>
  </si>
  <si>
    <t>The rate case application is in Microsoft Excel and should be filed as an Excel file.  Do not convert Excel files to PDF.</t>
  </si>
  <si>
    <t>Adobe Acrobat is needed to convert other than Excel documents to PDF format.</t>
  </si>
  <si>
    <t>Abbreviated list of instructions to submit this rate application to the PSC:</t>
  </si>
  <si>
    <t>To submit a new rate case, select the New / Non-Docket entry under File Document heading.</t>
  </si>
  <si>
    <t>Select the number of files to upload, and specify the utility these documents relate to.  When the screen repopulates, click the browse button in row 1 and select the file to upload.  Then specify the document type from the drop down list box and finally enter a meaningful description such as “Rate Increase Application for XYZ Water Utility”.</t>
  </si>
  <si>
    <t>Repeat this for each row on the screen.</t>
  </si>
  <si>
    <t>Click the Upload Docket Files button to submit the documents.</t>
  </si>
  <si>
    <t>(Filling this form out is in accordance with Wis. Stat. § 196.25)</t>
  </si>
  <si>
    <t>The Public Service Commission of Wisconsin does not discriminate on the basis of disability in the provision of programs, services, or employment.  If you are speech, hearing, or visually impaired and need assistance, call (608) 266-5481 or TTY (608)267-1479.  We will try to find another way to get the information to you in a usable form.</t>
  </si>
  <si>
    <t>Name of Utility:</t>
  </si>
  <si>
    <t>Type of rate increase requested:</t>
  </si>
  <si>
    <t>Contact Personnel Information</t>
  </si>
  <si>
    <t>Utility</t>
  </si>
  <si>
    <t>Consultant</t>
  </si>
  <si>
    <t>Name</t>
  </si>
  <si>
    <t>Contact Person (1)</t>
  </si>
  <si>
    <t>Contact Person (2)</t>
  </si>
  <si>
    <t>Street or P.O. Box</t>
  </si>
  <si>
    <t>City and Zip Code</t>
  </si>
  <si>
    <t>County or Counties</t>
  </si>
  <si>
    <t>Telephone Number (1)</t>
  </si>
  <si>
    <t>Telephone Number (2)</t>
  </si>
  <si>
    <t>E-Mail Address</t>
  </si>
  <si>
    <t>Fax Number</t>
  </si>
  <si>
    <t>Best Hours between 7:30 am &amp; 5:00 pm</t>
  </si>
  <si>
    <t>Telephonic Hearing Information</t>
  </si>
  <si>
    <t>Requests to increase rates require Commission approval.  Pursuant to state statutes, a rate increase can only be authorized after public hearing.  Municipal utilities are encouraged to hold telephonic hearings.  A telephonic hearing is much like a hearing held in Madison except that the utility, Commission staff, the utility's consultant (if applicable), and customers participate via speaker phone from their respective locations.  Telephonic hearings are advantageous for both the utility and its customers.  Customers have an opportunity to participate with greater ease than afforded by a hearing held at the Commission's offices in Madison.  Additionally, the time utility personnel are away from the office is significantly reduced.</t>
  </si>
  <si>
    <t>In order to participate in a telephonic hearing, the utility must have a location which is handicapped accessible with a capacity of at least 10-15 persons.  The utility also needs a speaker phone workable in the room in which the hearing is to be held.  FAX and copy machines are also required.  The FAX and copiers do not need to be located in the hearing room or even the building in which the hearing is to be held;  however, the utility must have ready access.  More details will be provided concerning scheduling and administering the telephonic hearing when Commission staff has completed processing your application to increase rates.</t>
  </si>
  <si>
    <t>Please check one of the following:</t>
  </si>
  <si>
    <r>
      <t>Yes</t>
    </r>
    <r>
      <rPr>
        <sz val="12"/>
        <rFont val="Arial"/>
        <family val="2"/>
      </rPr>
      <t xml:space="preserve">, the utility can arrange a site for a telephonic hearing, either at the utility or at an alternate site.  </t>
    </r>
    <r>
      <rPr>
        <i/>
        <sz val="12"/>
        <rFont val="Arial"/>
        <family val="2"/>
      </rPr>
      <t>(Please specify the site including building name, address, room number, and telephone number for the room in the space below.)</t>
    </r>
  </si>
  <si>
    <r>
      <t>No</t>
    </r>
    <r>
      <rPr>
        <sz val="12"/>
        <rFont val="Arial"/>
        <family val="2"/>
      </rPr>
      <t xml:space="preserve">, it is not feasible for our utility to host a telephonic hearing.  We request that the hearing be scheduled in Madison. </t>
    </r>
    <r>
      <rPr>
        <i/>
        <sz val="12"/>
        <rFont val="Arial"/>
        <family val="2"/>
      </rPr>
      <t xml:space="preserve"> (Please provide your specific reasons in the space</t>
    </r>
    <r>
      <rPr>
        <sz val="12"/>
        <rFont val="Arial"/>
        <family val="2"/>
      </rPr>
      <t xml:space="preserve"> </t>
    </r>
    <r>
      <rPr>
        <i/>
        <sz val="12"/>
        <rFont val="Arial"/>
        <family val="2"/>
      </rPr>
      <t>below.)</t>
    </r>
  </si>
  <si>
    <t>ATTACHMENT 1</t>
  </si>
  <si>
    <t>PART 1:</t>
  </si>
  <si>
    <t xml:space="preserve">Provide consumption data for the four largest customers in each customer class. 
</t>
  </si>
  <si>
    <t>1. List the billing units consistent with Schedule Mg-1 in your tariff sheets.</t>
  </si>
  <si>
    <t xml:space="preserve">LISTING OF LARGEST CUSTOMERS BILLED </t>
  </si>
  <si>
    <t>Customer Name</t>
  </si>
  <si>
    <t>Meter Size</t>
  </si>
  <si>
    <t>Billed Consumption</t>
  </si>
  <si>
    <t>Res.</t>
  </si>
  <si>
    <t>Com.</t>
  </si>
  <si>
    <t>Ind.</t>
  </si>
  <si>
    <t>P.A.</t>
  </si>
  <si>
    <t>PART 2:</t>
  </si>
  <si>
    <t>1. How do you send your water bills?</t>
  </si>
  <si>
    <t>3.  How frequently do you read residential customer meters?</t>
  </si>
  <si>
    <t>4. Which of the following best describes the manner in which you read meters each billing period?</t>
  </si>
  <si>
    <t>WATER UTILITY CONSUMER ANALYSIS</t>
  </si>
  <si>
    <t xml:space="preserve">                      Actual Latest 12 Months Ending:</t>
  </si>
  <si>
    <t>Commercial</t>
  </si>
  <si>
    <t>Total</t>
  </si>
  <si>
    <t>Units</t>
  </si>
  <si>
    <t>Amount</t>
  </si>
  <si>
    <t>Average</t>
  </si>
  <si>
    <t>Meter</t>
  </si>
  <si>
    <t>5/8"</t>
  </si>
  <si>
    <t>3/4"</t>
  </si>
  <si>
    <t xml:space="preserve"> 1"</t>
  </si>
  <si>
    <t>1 1/4"</t>
  </si>
  <si>
    <t>1 1/2"</t>
  </si>
  <si>
    <t xml:space="preserve"> 2"</t>
  </si>
  <si>
    <t xml:space="preserve"> 2 1/2"</t>
  </si>
  <si>
    <t xml:space="preserve"> 3"</t>
  </si>
  <si>
    <t xml:space="preserve"> 4"</t>
  </si>
  <si>
    <t xml:space="preserve"> 6"</t>
  </si>
  <si>
    <t xml:space="preserve"> 8"</t>
  </si>
  <si>
    <t>10"</t>
  </si>
  <si>
    <t>12"</t>
  </si>
  <si>
    <t>Surcharges, etc.</t>
  </si>
  <si>
    <t>Total Revenues Per Analysis</t>
  </si>
  <si>
    <t>Total Actual Billed Revenues</t>
  </si>
  <si>
    <t>Dollar Variance</t>
  </si>
  <si>
    <t xml:space="preserve">(A)  </t>
  </si>
  <si>
    <t>The annual revenues from meter charges are based upon the number of bills issued annually.</t>
  </si>
  <si>
    <t>Sales Forecast Historical</t>
  </si>
  <si>
    <t>Avg. #</t>
  </si>
  <si>
    <t xml:space="preserve">      Usage</t>
  </si>
  <si>
    <t xml:space="preserve">  Avg/Cust/Qtr</t>
  </si>
  <si>
    <t xml:space="preserve">Change in </t>
  </si>
  <si>
    <t xml:space="preserve">  Year</t>
  </si>
  <si>
    <t>Customers</t>
  </si>
  <si>
    <t>Customer Ct</t>
  </si>
  <si>
    <t xml:space="preserve">     Averages:</t>
  </si>
  <si>
    <t>5-year avg</t>
  </si>
  <si>
    <t>4-year avg</t>
  </si>
  <si>
    <t>3-year avg</t>
  </si>
  <si>
    <t>2-year avg</t>
  </si>
  <si>
    <t>Estimated Customer Growth for the Test Year:</t>
  </si>
  <si>
    <t>Number of</t>
  </si>
  <si>
    <t>Customer Class</t>
  </si>
  <si>
    <t>Sizes</t>
  </si>
  <si>
    <t>Public Auth.</t>
  </si>
  <si>
    <t>Wholesale Revenues</t>
  </si>
  <si>
    <t>NOTE: Only applies to utilities selling water at wholesale to another utilty.</t>
  </si>
  <si>
    <t>Wholesale Community --&gt;</t>
  </si>
  <si>
    <t>5-Year Average</t>
  </si>
  <si>
    <t>4-Year Average</t>
  </si>
  <si>
    <t>3-Year Average</t>
  </si>
  <si>
    <t>2-Year Average</t>
  </si>
  <si>
    <t>Public Fire Protection Service</t>
  </si>
  <si>
    <t>Service Charge</t>
  </si>
  <si>
    <t>Semiannual/qtrly/monthly --&gt;</t>
  </si>
  <si>
    <t>Rate</t>
  </si>
  <si>
    <t>General Service</t>
  </si>
  <si>
    <t>Volume Charge</t>
  </si>
  <si>
    <t>ATTACHMENT 4</t>
  </si>
  <si>
    <t>PUBLIC FIRE PROTECTION REVENUE (SUMMARY)</t>
  </si>
  <si>
    <t>MUNICIPAL CHARGE</t>
  </si>
  <si>
    <t>Based upon Mains and Hydrants:</t>
  </si>
  <si>
    <t xml:space="preserve">Estimated Test Year Revenue </t>
  </si>
  <si>
    <t>(Per Attachment 5)</t>
  </si>
  <si>
    <t>Based upon a Flat Charge to Municipality:</t>
  </si>
  <si>
    <t>Estimated Test Year Revenue</t>
  </si>
  <si>
    <t>DIRECT CHARGE TO CUSTOMERS</t>
  </si>
  <si>
    <t>Based upon Equivalent Meters or Equivalent Services:</t>
  </si>
  <si>
    <t>Based upon a Direct Charge Method other than in number 3 above:</t>
  </si>
  <si>
    <t>Note:  Detail Must be Submitted to PSC Supporting this Method.</t>
  </si>
  <si>
    <t>CHARGES TO WHOLESALE CUSTOMERS</t>
  </si>
  <si>
    <t>(Per attachment 3A)</t>
  </si>
  <si>
    <t>OTHER PUBLIC FIRE PROTECTION CHARGES TO CUSTOMERS FOR FIRE PROTECTION</t>
  </si>
  <si>
    <t>Based upon Charges for Water Used for Fire Protection (i.e., using Tariff Schedules F-2 or BW-1)</t>
  </si>
  <si>
    <t>TOTAL ESTIMATED TEST YEAR PUBLIC FIRE PROTECTION REVENUE</t>
  </si>
  <si>
    <t>PUBLIC FIRE PROTECTION REVENUE (SUPPORTING DETAIL)</t>
  </si>
  <si>
    <t>If Public Fire Protection Revenue is a Municipal Charge based upon mains and/or hydrants, complete the following.</t>
  </si>
  <si>
    <t>Base annual charge (dollars)</t>
  </si>
  <si>
    <t>Base estimated transmission and distribution main (number of feet)</t>
  </si>
  <si>
    <t>Main size larger than (typically 4 or 6 inches)</t>
  </si>
  <si>
    <t>Base number of hydrants</t>
  </si>
  <si>
    <t>ATTACHMENT 5</t>
  </si>
  <si>
    <t>Part One:</t>
  </si>
  <si>
    <t>Based upon Mains and/or Hydrants:</t>
  </si>
  <si>
    <t>Dollar</t>
  </si>
  <si>
    <t>&amp; Larger</t>
  </si>
  <si>
    <t>Hydrants</t>
  </si>
  <si>
    <t>Base Units and Charge (Per tariff schedule)</t>
  </si>
  <si>
    <t>feet</t>
  </si>
  <si>
    <t>hyd</t>
  </si>
  <si>
    <t/>
  </si>
  <si>
    <t>Test Year Average Units</t>
  </si>
  <si>
    <t>Part Two:</t>
  </si>
  <si>
    <t>Based upon Equivalent Meters or  Equivalent Services:</t>
  </si>
  <si>
    <t xml:space="preserve">Insert Billings per Year if Different  </t>
  </si>
  <si>
    <t>Authorized</t>
  </si>
  <si>
    <t>Annual</t>
  </si>
  <si>
    <t>Size</t>
  </si>
  <si>
    <t>(per Attachment 3)</t>
  </si>
  <si>
    <t>Revenue</t>
  </si>
  <si>
    <t>SUBTOTALS</t>
  </si>
  <si>
    <t>Surcharges or Rounding</t>
  </si>
  <si>
    <t>CALCULATED ANNUAL REVENUE</t>
  </si>
  <si>
    <t>ATTACHMENT 6</t>
  </si>
  <si>
    <t>PRIVATE FIRE PROTECTION REVENUE</t>
  </si>
  <si>
    <t xml:space="preserve">Average Number </t>
  </si>
  <si>
    <t>Fire Connections:</t>
  </si>
  <si>
    <t>Connection</t>
  </si>
  <si>
    <t>of Connections</t>
  </si>
  <si>
    <t>Each Billing</t>
  </si>
  <si>
    <t>Annually</t>
  </si>
  <si>
    <t>Rates</t>
  </si>
  <si>
    <t>2" or smaller</t>
  </si>
  <si>
    <t>3"</t>
  </si>
  <si>
    <t>4"</t>
  </si>
  <si>
    <t>6"</t>
  </si>
  <si>
    <t>8"</t>
  </si>
  <si>
    <t>14"</t>
  </si>
  <si>
    <t>16"</t>
  </si>
  <si>
    <t>Total Connection Revenue</t>
  </si>
  <si>
    <t>General Service Branches Off</t>
  </si>
  <si>
    <t xml:space="preserve"> Meter</t>
  </si>
  <si>
    <t>of Meters</t>
  </si>
  <si>
    <t xml:space="preserve">  Annual</t>
  </si>
  <si>
    <t xml:space="preserve"> Sizes</t>
  </si>
  <si>
    <t xml:space="preserve">    5/8"</t>
  </si>
  <si>
    <t xml:space="preserve">    3/4"</t>
  </si>
  <si>
    <t xml:space="preserve">    1"</t>
  </si>
  <si>
    <t xml:space="preserve">  1 1/4"</t>
  </si>
  <si>
    <t xml:space="preserve">  1 1/2"</t>
  </si>
  <si>
    <t xml:space="preserve">    2"</t>
  </si>
  <si>
    <t xml:space="preserve">  2 1/2"</t>
  </si>
  <si>
    <t xml:space="preserve">    3"</t>
  </si>
  <si>
    <t xml:space="preserve">    4"</t>
  </si>
  <si>
    <t xml:space="preserve">    6"</t>
  </si>
  <si>
    <t xml:space="preserve">    8"</t>
  </si>
  <si>
    <t>Total General Branch Connection Revenues</t>
  </si>
  <si>
    <t>If Applicable, the Authorized Credit is Usually 30% of Total General Branch Revenues.</t>
  </si>
  <si>
    <t>(However, the credit may be at a different percentage or if N/A, enter zero)</t>
  </si>
  <si>
    <t xml:space="preserve">      Insert Authorized Credit Percentage in this box (if applicable):</t>
  </si>
  <si>
    <t>Total Estimated Test Year Revenue (Connection Revenue less Credit Amount)</t>
  </si>
  <si>
    <t>ATTACHMENT 7</t>
  </si>
  <si>
    <t>OPERATING REVENUES</t>
  </si>
  <si>
    <t>Account</t>
  </si>
  <si>
    <t>Test Year</t>
  </si>
  <si>
    <t>Number</t>
  </si>
  <si>
    <t>Description</t>
  </si>
  <si>
    <t>Unmetered Sales to General Customers</t>
  </si>
  <si>
    <t xml:space="preserve">  Residential</t>
  </si>
  <si>
    <t xml:space="preserve">  Commercial</t>
  </si>
  <si>
    <t xml:space="preserve">  Industrial</t>
  </si>
  <si>
    <t xml:space="preserve">  Public Authority</t>
  </si>
  <si>
    <t>Total unmetered sales</t>
  </si>
  <si>
    <t>Metered Sales to General Customers</t>
  </si>
  <si>
    <t xml:space="preserve"> (A)</t>
  </si>
  <si>
    <t>Total metered sales</t>
  </si>
  <si>
    <t>Private fire protection service</t>
  </si>
  <si>
    <t xml:space="preserve"> (B)</t>
  </si>
  <si>
    <t>Public fire protection service</t>
  </si>
  <si>
    <t xml:space="preserve"> (C)</t>
  </si>
  <si>
    <t>Other water sales</t>
  </si>
  <si>
    <t>Sales for resale</t>
  </si>
  <si>
    <t>Interdepartmental sales</t>
  </si>
  <si>
    <t>Total sales of water</t>
  </si>
  <si>
    <t>Other Operating Revenues:</t>
  </si>
  <si>
    <t>Forfeited discounts</t>
  </si>
  <si>
    <t>Rents from water property</t>
  </si>
  <si>
    <t>Interdepartmental rents</t>
  </si>
  <si>
    <t>Other water revenues</t>
  </si>
  <si>
    <t>Total other operating revenues</t>
  </si>
  <si>
    <t>Total Operating Revenues</t>
  </si>
  <si>
    <t>NOTE:</t>
  </si>
  <si>
    <t>ATTACHMENT 8</t>
  </si>
  <si>
    <t xml:space="preserve">Taxes (Account 408) </t>
  </si>
  <si>
    <t>Instructions for Taxes (Account 408)</t>
  </si>
  <si>
    <t>The summary should be completed as follows:</t>
  </si>
  <si>
    <t xml:space="preserve">      Property Tax Equivalent Computation on Attachment 9.</t>
  </si>
  <si>
    <t xml:space="preserve"> 3)  If the sewer department DOES NOT USE the meter reading of the water utility for determining</t>
  </si>
  <si>
    <t>Instructions</t>
  </si>
  <si>
    <t>Reference</t>
  </si>
  <si>
    <t xml:space="preserve">Property Tax Equivalent Payable for the </t>
  </si>
  <si>
    <t xml:space="preserve"> Year (from Attachment 9)</t>
  </si>
  <si>
    <t>1) &amp; 2)</t>
  </si>
  <si>
    <t xml:space="preserve">          on meters charged to sewer dept.</t>
  </si>
  <si>
    <t>1) &amp; 3)</t>
  </si>
  <si>
    <t>Net Property Tax Equivalent-Water Utility</t>
  </si>
  <si>
    <t>Social Security Taxes</t>
  </si>
  <si>
    <t>1)</t>
  </si>
  <si>
    <t>PSC Remainder Assessment Tax</t>
  </si>
  <si>
    <t>Total Taxes</t>
  </si>
  <si>
    <t>Attachment 9</t>
  </si>
  <si>
    <t xml:space="preserve">Property Tax Equivalent Computation </t>
  </si>
  <si>
    <t xml:space="preserve">    a) Plant - January 1 must come from Attachment 11 (Utility/Municipal Financed Plant) and Attachment 11a (Contributed Plant).</t>
  </si>
  <si>
    <t xml:space="preserve">    b) Major Plant Additions (Both Utility Financed and Contributed) are included for the Test Year for rate case purposes.</t>
  </si>
  <si>
    <t xml:space="preserve">    c) Construction Work In Progress (CWIP) and Plant Held for Future Use - January 1; </t>
  </si>
  <si>
    <t xml:space="preserve">        excluding any amounts included as Major Plant Additions in Test Year.</t>
  </si>
  <si>
    <t xml:space="preserve">    d) Materials and Supplies - January 1 must come from Attachment 13.</t>
  </si>
  <si>
    <t xml:space="preserve">    e) Plant Outside Limits-January 1 - State the basis for any change from prior year.</t>
  </si>
  <si>
    <t xml:space="preserve">    f) The utility must state what assumptions it made with regard to projecting the tax rates and assessment ratio.</t>
  </si>
  <si>
    <t xml:space="preserve"> 3.  If the municipality has authorized an amount as allowed by Wis. Stat. § 66.0811(2) [formerly § 66.069 (1)(c)],</t>
  </si>
  <si>
    <t xml:space="preserve"> 4.  If the municipality has authorized an amount as allowed by Wis. Stat. § 66.0811(2), then that amount is the tax</t>
  </si>
  <si>
    <t xml:space="preserve">      equivalent payable for the current year.  If not, then the tax equivalent payable for the current year is the</t>
  </si>
  <si>
    <t xml:space="preserve">      larger of either the tax equivalent computed for the current year or the 1994 tax equivalent payable in 1995.</t>
  </si>
  <si>
    <t xml:space="preserve"> 5.  The property tax equivalent is not applicable to Water Sanitary Districts.</t>
  </si>
  <si>
    <t>Instr.</t>
  </si>
  <si>
    <t>Add:</t>
  </si>
  <si>
    <t xml:space="preserve">   Utility Plant - January 1</t>
  </si>
  <si>
    <t xml:space="preserve">   Utility/Municipal Financed Plant - January 1</t>
  </si>
  <si>
    <t>2a)</t>
  </si>
  <si>
    <t xml:space="preserve">   Contributed Plant - January 1</t>
  </si>
  <si>
    <t xml:space="preserve">   Major Plant Additions in Test Year</t>
  </si>
  <si>
    <t>2b)</t>
  </si>
  <si>
    <t xml:space="preserve">   CWIP &amp; Held for Future Use - January 1</t>
  </si>
  <si>
    <t>2c)</t>
  </si>
  <si>
    <t xml:space="preserve">   Materials &amp; Supplies - January 1</t>
  </si>
  <si>
    <t>1,2d)</t>
  </si>
  <si>
    <t>1,2e)</t>
  </si>
  <si>
    <t>Net Taxable Plant</t>
  </si>
  <si>
    <t>1,2f)</t>
  </si>
  <si>
    <t>Assessed Plant Value</t>
  </si>
  <si>
    <t>Current Year Net Local &amp; Schools (L&amp;S)</t>
  </si>
  <si>
    <t xml:space="preserve">    Mill Rate (Line R below)</t>
  </si>
  <si>
    <t>Tax Equivalent Computed for the Current</t>
  </si>
  <si>
    <t xml:space="preserve">     Year (Plant Value times L&amp;S Rate/1000) </t>
  </si>
  <si>
    <t>1,3</t>
  </si>
  <si>
    <t>1994 Tax Equivalent Payable in 1995</t>
  </si>
  <si>
    <t>Tax Equivalent Authorized by Municipality</t>
  </si>
  <si>
    <t>Tax Equivalent Payable for the Current Year</t>
  </si>
  <si>
    <t>1,4</t>
  </si>
  <si>
    <t>Line</t>
  </si>
  <si>
    <t>Mill Rate Detail</t>
  </si>
  <si>
    <t>Ref.</t>
  </si>
  <si>
    <t>State tax rate</t>
  </si>
  <si>
    <t>(A)</t>
  </si>
  <si>
    <t>County tax rate</t>
  </si>
  <si>
    <t>(B)</t>
  </si>
  <si>
    <t>Local tax rate</t>
  </si>
  <si>
    <t>(C)</t>
  </si>
  <si>
    <t>School tax rate</t>
  </si>
  <si>
    <t>(D)</t>
  </si>
  <si>
    <t>Voc. school tax rate</t>
  </si>
  <si>
    <t>(E)</t>
  </si>
  <si>
    <t>Other tax rates-Local</t>
  </si>
  <si>
    <t>(F1)</t>
  </si>
  <si>
    <t xml:space="preserve">Other tax rates-Non-Local </t>
  </si>
  <si>
    <t>(F2)</t>
  </si>
  <si>
    <t xml:space="preserve">    Total Tax Rate</t>
  </si>
  <si>
    <t>(G)</t>
  </si>
  <si>
    <t>(H)</t>
  </si>
  <si>
    <t xml:space="preserve">    Net Tax Rate</t>
  </si>
  <si>
    <t>(I)</t>
  </si>
  <si>
    <t>Local tax rate (Line C above)</t>
  </si>
  <si>
    <t>(J)</t>
  </si>
  <si>
    <t>School tax rate (Line D above)</t>
  </si>
  <si>
    <t>(K)</t>
  </si>
  <si>
    <t>Voc. school tax rate (Line E above)</t>
  </si>
  <si>
    <t>(L)</t>
  </si>
  <si>
    <t>Other tax rates-Local (Line F1 above)</t>
  </si>
  <si>
    <t>(M)</t>
  </si>
  <si>
    <t>Total local &amp; schools tax rates</t>
  </si>
  <si>
    <t>(N)</t>
  </si>
  <si>
    <t>Total tax rate (Line G above)</t>
  </si>
  <si>
    <t>(O)</t>
  </si>
  <si>
    <t xml:space="preserve">Ratio of local &amp; school tax rate to </t>
  </si>
  <si>
    <t xml:space="preserve">      total tax rate (Line N divided by O)</t>
  </si>
  <si>
    <t>(P)</t>
  </si>
  <si>
    <t>Net Tax Rate ( Line I above)</t>
  </si>
  <si>
    <t>(Q)</t>
  </si>
  <si>
    <t>Net local and school rate:  (Line P times Q)</t>
  </si>
  <si>
    <t>(R)</t>
  </si>
  <si>
    <t>ATTACHMENT 10</t>
  </si>
  <si>
    <t>Page 1 of 2</t>
  </si>
  <si>
    <t>OPERATING EXPENSES</t>
  </si>
  <si>
    <t xml:space="preserve">                                       </t>
  </si>
  <si>
    <t>Acct.</t>
  </si>
  <si>
    <t xml:space="preserve"> No.</t>
  </si>
  <si>
    <t xml:space="preserve">    </t>
  </si>
  <si>
    <t xml:space="preserve">           </t>
  </si>
  <si>
    <t>.</t>
  </si>
  <si>
    <t>Operation labor</t>
  </si>
  <si>
    <t>Purchased water</t>
  </si>
  <si>
    <t>Operation supplies and expenses</t>
  </si>
  <si>
    <t>Maintenance of water source plant</t>
  </si>
  <si>
    <t>Total Source of Supply Expenses</t>
  </si>
  <si>
    <t>Fuel for power production</t>
  </si>
  <si>
    <t>Fuel or power purchased for pumping</t>
  </si>
  <si>
    <t>Maintenance of pumping plant</t>
  </si>
  <si>
    <t>Total Pumping Expenses</t>
  </si>
  <si>
    <t>Chemicals</t>
  </si>
  <si>
    <t>Maintenance of water treatment plant</t>
  </si>
  <si>
    <t>Total Water Treatment Expenses</t>
  </si>
  <si>
    <t>Maintenance of distr. reservoirs</t>
  </si>
  <si>
    <t>Maintenance of mains</t>
  </si>
  <si>
    <t>Maintenance of services</t>
  </si>
  <si>
    <t>Maintenance of meters</t>
  </si>
  <si>
    <t>Maintenance of hydrants</t>
  </si>
  <si>
    <t>Maintenance of other plant</t>
  </si>
  <si>
    <t>Total Trans. &amp; Distribution Expenses</t>
  </si>
  <si>
    <t>Page 2 of 2</t>
  </si>
  <si>
    <t>Meter reading labor</t>
  </si>
  <si>
    <t>Accounting and collecting labor</t>
  </si>
  <si>
    <t>Supplies and expenses</t>
  </si>
  <si>
    <t>Uncollectible accounts</t>
  </si>
  <si>
    <t>Customer service and informational expense</t>
  </si>
  <si>
    <t>Total Customer Accounts Expenses</t>
  </si>
  <si>
    <t>Sales Expenses</t>
  </si>
  <si>
    <t>Administrative and general salaries</t>
  </si>
  <si>
    <t>Office supplies and expenses</t>
  </si>
  <si>
    <t>Administrative expenses transferred -- credit</t>
  </si>
  <si>
    <t>Outside services employed</t>
  </si>
  <si>
    <t>Property insurance</t>
  </si>
  <si>
    <t>Injuries and damages</t>
  </si>
  <si>
    <t>Employee pensions and benefits</t>
  </si>
  <si>
    <t>Regulatory commission expenses</t>
  </si>
  <si>
    <t>Miscellaneous general expenses</t>
  </si>
  <si>
    <t>Transportation expenses</t>
  </si>
  <si>
    <t>Maintenance of general plant</t>
  </si>
  <si>
    <t>Total Admin. And General Expenses</t>
  </si>
  <si>
    <t>Total Oper. And Maint. Expenses</t>
  </si>
  <si>
    <t>ATTACHMENT 11</t>
  </si>
  <si>
    <t>UTILITY PLANT IN SERVICE</t>
  </si>
  <si>
    <t>Utility or Municipal Financed Transactions Only</t>
  </si>
  <si>
    <t>Plant account</t>
  </si>
  <si>
    <t>Estimated</t>
  </si>
  <si>
    <t xml:space="preserve">                                    </t>
  </si>
  <si>
    <t xml:space="preserve">  Balance</t>
  </si>
  <si>
    <t>Major Construction</t>
  </si>
  <si>
    <t>Routine Construction</t>
  </si>
  <si>
    <t>Additions</t>
  </si>
  <si>
    <t>Retirements</t>
  </si>
  <si>
    <t>Adjustments</t>
  </si>
  <si>
    <t>Balance</t>
  </si>
  <si>
    <t>Notes (A,B)</t>
  </si>
  <si>
    <t>Note (B)</t>
  </si>
  <si>
    <t>Intangible Plant</t>
  </si>
  <si>
    <t>Organization</t>
  </si>
  <si>
    <t>Franchises and consents</t>
  </si>
  <si>
    <t>Miscellaneous intangible plant</t>
  </si>
  <si>
    <t>Total Intangible Plant</t>
  </si>
  <si>
    <t xml:space="preserve">            </t>
  </si>
  <si>
    <t>Source of Supply</t>
  </si>
  <si>
    <t>Land and land rights</t>
  </si>
  <si>
    <t>Structures and improvements</t>
  </si>
  <si>
    <t>Collecting and impounding reservoirs</t>
  </si>
  <si>
    <t>Lake, river, and other intakes</t>
  </si>
  <si>
    <t>Wells and springs</t>
  </si>
  <si>
    <t>Supply mains</t>
  </si>
  <si>
    <t>Other water source plant</t>
  </si>
  <si>
    <t>Total Source of Supply Plant</t>
  </si>
  <si>
    <t>Pumping Plant</t>
  </si>
  <si>
    <t>Other power production equipment</t>
  </si>
  <si>
    <t>Electric pumping equipment</t>
  </si>
  <si>
    <t>Diesel pumping equipment</t>
  </si>
  <si>
    <t>Other pumping equipment</t>
  </si>
  <si>
    <t>Total Pumping Plant</t>
  </si>
  <si>
    <t>Water Treatment Plant</t>
  </si>
  <si>
    <t>Sand or Other Media Filtration Equip</t>
  </si>
  <si>
    <t>Membrane Filtration Equipment</t>
  </si>
  <si>
    <t>Other Water Treatment Equipment</t>
  </si>
  <si>
    <t>Total Water Treatment Plant</t>
  </si>
  <si>
    <t>Transmission and Distribution Plant</t>
  </si>
  <si>
    <t>Distribution reservoirs and standpipes</t>
  </si>
  <si>
    <t>Transmission and distribution mains</t>
  </si>
  <si>
    <t>Services</t>
  </si>
  <si>
    <t>Meters</t>
  </si>
  <si>
    <t>Other transmission and distr. plant</t>
  </si>
  <si>
    <t>Total Transmission and Distr. Plant</t>
  </si>
  <si>
    <t>General Plant</t>
  </si>
  <si>
    <t>Office furniture and equipment</t>
  </si>
  <si>
    <t>Office furniture &amp; equip - Computers</t>
  </si>
  <si>
    <t>Transportation equipment</t>
  </si>
  <si>
    <t>Stores equipment</t>
  </si>
  <si>
    <t>Tools, shop and garage equipment</t>
  </si>
  <si>
    <t>Laboratory equipment</t>
  </si>
  <si>
    <t>Power operated equipment</t>
  </si>
  <si>
    <t>Communication equipment</t>
  </si>
  <si>
    <t>SCADA equipment</t>
  </si>
  <si>
    <t>Miscellaneous equipment</t>
  </si>
  <si>
    <t>Total General Plant</t>
  </si>
  <si>
    <t>Total Plant In Service</t>
  </si>
  <si>
    <t>ATTACHMENT 11a</t>
  </si>
  <si>
    <t>Contributed Plant</t>
  </si>
  <si>
    <t>Contributed Plant Transactions Only</t>
  </si>
  <si>
    <t>Contributed</t>
  </si>
  <si>
    <t xml:space="preserve"> Estimated</t>
  </si>
  <si>
    <t>Plant</t>
  </si>
  <si>
    <t>Note (A)</t>
  </si>
  <si>
    <t>Sand and other media filtration Equip</t>
  </si>
  <si>
    <t xml:space="preserve">Total </t>
  </si>
  <si>
    <t>ATTACHMENT 12</t>
  </si>
  <si>
    <t>DEPRECIATION ACCRUAL AND EXPENSE</t>
  </si>
  <si>
    <t>(per Attach. 11)</t>
  </si>
  <si>
    <t>(per Attachment 11)</t>
  </si>
  <si>
    <t>Depr.</t>
  </si>
  <si>
    <t>Avg. Depreciable</t>
  </si>
  <si>
    <t>Depreciation</t>
  </si>
  <si>
    <t xml:space="preserve"> Average Depreciable Balance</t>
  </si>
  <si>
    <t>Depreciation Accrual</t>
  </si>
  <si>
    <t>Accrual</t>
  </si>
  <si>
    <t>Major</t>
  </si>
  <si>
    <t>Routine</t>
  </si>
  <si>
    <t>301-303</t>
  </si>
  <si>
    <t>N/A</t>
  </si>
  <si>
    <t>Estimated Depreciation Accrual</t>
  </si>
  <si>
    <t>Meter depr. allocated to sewer (deduction)</t>
  </si>
  <si>
    <t>% &lt;=Change if different</t>
  </si>
  <si>
    <t>%  &lt;=Change if different allocation to sewer</t>
  </si>
  <si>
    <t>Adjustments &amp; Depreciation charged clearing accounts, etc: add (deduct):</t>
  </si>
  <si>
    <t xml:space="preserve">  (Specify)</t>
  </si>
  <si>
    <t>Estimated Depreciation Expense</t>
  </si>
  <si>
    <t>Test Year Depreciation Expense (To Attachment 14)==&gt;</t>
  </si>
  <si>
    <t>ATTACHMENT 13</t>
  </si>
  <si>
    <t>Accumulated Depreciation (Account 111.1)</t>
  </si>
  <si>
    <t>Major Projects</t>
  </si>
  <si>
    <t>Average Balance</t>
  </si>
  <si>
    <t xml:space="preserve">   Add:</t>
  </si>
  <si>
    <t>Annual Accrual</t>
  </si>
  <si>
    <t>(per Attachment 12)</t>
  </si>
  <si>
    <t>Salvage</t>
  </si>
  <si>
    <t xml:space="preserve">  Less:</t>
  </si>
  <si>
    <t>Cost of Removal</t>
  </si>
  <si>
    <t xml:space="preserve">         increase (decrease)</t>
  </si>
  <si>
    <t>(Estimated)</t>
  </si>
  <si>
    <t>Test Year Average Balance</t>
  </si>
  <si>
    <t>Materials and Supplies Inventory</t>
  </si>
  <si>
    <t xml:space="preserve">Account Balances:    </t>
  </si>
  <si>
    <t>(Actual)</t>
  </si>
  <si>
    <t>Regulatory Liability and Other Adjustments</t>
  </si>
  <si>
    <t>Regulatory Liab</t>
  </si>
  <si>
    <t>Account Balances:</t>
  </si>
  <si>
    <t>(Acct 253)</t>
  </si>
  <si>
    <t>Other</t>
  </si>
  <si>
    <t>ATTACHMENT 14</t>
  </si>
  <si>
    <t>(per Attachment 7)</t>
  </si>
  <si>
    <t>Total Operation and Maintenance Expenses</t>
  </si>
  <si>
    <t>(per Attachment 10)</t>
  </si>
  <si>
    <t>Depreciation Expense</t>
  </si>
  <si>
    <t>Taxes</t>
  </si>
  <si>
    <t>(per Attachment 8)</t>
  </si>
  <si>
    <t>Total Operating Expenses</t>
  </si>
  <si>
    <t xml:space="preserve">         </t>
  </si>
  <si>
    <t>Utility Plant In Service--Financed by Utility or Municipality:</t>
  </si>
  <si>
    <t xml:space="preserve">  (per Attachment 11)</t>
  </si>
  <si>
    <t>Materials and Supplies:</t>
  </si>
  <si>
    <t xml:space="preserve">  (per Attachment 13)</t>
  </si>
  <si>
    <t>Less:  Accumulated Depreciation:</t>
  </si>
  <si>
    <t>Regulatory Liability and Other:</t>
  </si>
  <si>
    <t>Average Net Investment Rate Base (NIRB)</t>
  </si>
  <si>
    <t>Part Three:</t>
  </si>
  <si>
    <t>Average Net Investment Rate Base</t>
  </si>
  <si>
    <t>(per Part Two above)</t>
  </si>
  <si>
    <t>(Enter requested rate in this box.)</t>
  </si>
  <si>
    <t>Return on Average Net Investment Rate Base (NIRB)</t>
  </si>
  <si>
    <t>(per Part One above)</t>
  </si>
  <si>
    <t>Operating Allowance</t>
  </si>
  <si>
    <t>Enter the larger of either:</t>
  </si>
  <si>
    <t>Less: Estimated Net Operating Income (Loss)</t>
  </si>
  <si>
    <t xml:space="preserve">Overall Percentage Increase in </t>
  </si>
  <si>
    <t>ATTACHMENT 15</t>
  </si>
  <si>
    <t>FINANCING AND DEBT SUMMARY</t>
  </si>
  <si>
    <t>FINANCING OF PLANT ADDITIONS (Including Contributed Plant)</t>
  </si>
  <si>
    <t>Contributed Plant by Developers</t>
  </si>
  <si>
    <t>Contributed Plant by Customers</t>
  </si>
  <si>
    <t>Special Assessments--Collections and Tax Roll</t>
  </si>
  <si>
    <t>Grants for Plant Additions</t>
  </si>
  <si>
    <t>Plant Paid for by Municipality</t>
  </si>
  <si>
    <t>Plant Paid for by TIF District</t>
  </si>
  <si>
    <t>Proceeds from Debt Issued during Year</t>
  </si>
  <si>
    <t xml:space="preserve">Special Construction Funds </t>
  </si>
  <si>
    <t>Available Cash or Invested Funds</t>
  </si>
  <si>
    <t>Utility Earnings</t>
  </si>
  <si>
    <t>Other:  (Specify)</t>
  </si>
  <si>
    <t>Outstanding</t>
  </si>
  <si>
    <t>Interest</t>
  </si>
  <si>
    <t>Principal</t>
  </si>
  <si>
    <t>End of Year</t>
  </si>
  <si>
    <t>Totals</t>
  </si>
  <si>
    <t>Note (1):</t>
  </si>
  <si>
    <t xml:space="preserve">Include as Interest Expense amounts which will be reported in Account 427, Interest on Long Term Debt; </t>
  </si>
  <si>
    <t>in Account 430, Interest on Debt to Municipality; and Account 431, Other Interest Charges.</t>
  </si>
  <si>
    <t>IMPACT FEES</t>
  </si>
  <si>
    <t>If yes, answer the following:</t>
  </si>
  <si>
    <t>Describe the facilities to be constructed using the impact fees.</t>
  </si>
  <si>
    <t>2)</t>
  </si>
  <si>
    <t>Provide the year the impact fees were adopted.</t>
  </si>
  <si>
    <t>3)</t>
  </si>
  <si>
    <t>If more space is needed please include an explanation in the footnotes on Attachment 19.</t>
  </si>
  <si>
    <t>ATTACHMENT 16</t>
  </si>
  <si>
    <t>1.</t>
  </si>
  <si>
    <t>2.</t>
  </si>
  <si>
    <t>3.</t>
  </si>
  <si>
    <t>4.</t>
  </si>
  <si>
    <t>ATTACHMENT 17</t>
  </si>
  <si>
    <t>MISCELLANEOUS</t>
  </si>
  <si>
    <t>Attachment 11</t>
  </si>
  <si>
    <t>Attachment 11a</t>
  </si>
  <si>
    <t>Net</t>
  </si>
  <si>
    <t>Added</t>
  </si>
  <si>
    <t>Retired</t>
  </si>
  <si>
    <t>(a)</t>
  </si>
  <si>
    <t>(b)</t>
  </si>
  <si>
    <t>Feet of Main</t>
  </si>
  <si>
    <t>Feet of Main-Routine</t>
  </si>
  <si>
    <t>Feet of Main-Major Projects</t>
  </si>
  <si>
    <t>Hydrants-Routine</t>
  </si>
  <si>
    <t>Hydrants-Major Projects</t>
  </si>
  <si>
    <t>Does the utility wish to revise Schedule Cz-1, the charge for installing a water service?</t>
  </si>
  <si>
    <t xml:space="preserve">NOTE: </t>
  </si>
  <si>
    <t>WATER CONSERVATION SPENDING</t>
  </si>
  <si>
    <t>Deferred Expense Schedule:</t>
  </si>
  <si>
    <t xml:space="preserve">Beginning </t>
  </si>
  <si>
    <t>Account 186</t>
  </si>
  <si>
    <t>Account 253</t>
  </si>
  <si>
    <t>Program Year Ending</t>
  </si>
  <si>
    <t>Expenditures</t>
  </si>
  <si>
    <t>Collections</t>
  </si>
  <si>
    <t>Expenses</t>
  </si>
  <si>
    <t>(c)</t>
  </si>
  <si>
    <t>(d)</t>
  </si>
  <si>
    <t>(e)</t>
  </si>
  <si>
    <t xml:space="preserve">December 31, </t>
  </si>
  <si>
    <t>Net Balance of Acct. 186 (debit) and Acct. 253 (credit) Last Actual Year</t>
  </si>
  <si>
    <t>Amortization Expense (Net Balance Divided by 3)</t>
  </si>
  <si>
    <t>Estimated Future Annual Expenditures</t>
  </si>
  <si>
    <t>Total Expenses (To be Recorded in Account 906)</t>
  </si>
  <si>
    <t>Additional Comments:</t>
  </si>
  <si>
    <t>ATTACHMENT 19</t>
  </si>
  <si>
    <t>NOTES</t>
  </si>
  <si>
    <t>ATTACHMENT 20</t>
  </si>
  <si>
    <t>STEP II MAJOR PLANT DETAIL</t>
  </si>
  <si>
    <t>NOTE:  Only applies to utilities requesting a two step rate case</t>
  </si>
  <si>
    <r>
      <t xml:space="preserve">USE ONLY FOR "MAJOR" PLANT NOT COMPLETED </t>
    </r>
    <r>
      <rPr>
        <b/>
        <u/>
        <sz val="10"/>
        <rFont val="Arial"/>
        <family val="2"/>
      </rPr>
      <t>NOR</t>
    </r>
    <r>
      <rPr>
        <b/>
        <sz val="10"/>
        <rFont val="Arial"/>
        <family val="2"/>
      </rPr>
      <t xml:space="preserve"> PLACED IN SERVICE BY THE END OF THE TEST YEAR</t>
    </r>
  </si>
  <si>
    <t xml:space="preserve">Summary of Plant Additions (Retirements) in Step II </t>
  </si>
  <si>
    <t xml:space="preserve">Addition </t>
  </si>
  <si>
    <t>(Retirement)</t>
  </si>
  <si>
    <t>Expense</t>
  </si>
  <si>
    <t xml:space="preserve">Total Financed by Utility or Municipality  </t>
  </si>
  <si>
    <t>Depreciation Total</t>
  </si>
  <si>
    <t>Contributed Plant:</t>
  </si>
  <si>
    <t xml:space="preserve">Total Contributed Plant  </t>
  </si>
  <si>
    <t>Calculated Tax Equivalent--Step II</t>
  </si>
  <si>
    <t>Calculated Tax Equivalent – Step I (per Attachment 9)</t>
  </si>
  <si>
    <t>Tax Equivalent Computed (Combined Total Step I and II)</t>
  </si>
  <si>
    <t>1994 Tax Equivalent Payable in 1995 (per Attachment 9)</t>
  </si>
  <si>
    <t>Step I and Step II Combined:</t>
  </si>
  <si>
    <t>Tax Equivalent Payable for the Test Year  (See Attachment 9, Instruction 4 for criteria)</t>
  </si>
  <si>
    <t>Less:  Meter Allocation to Sewer (Attachment 8)</t>
  </si>
  <si>
    <t>Step I and Step II Combined Net Property Tax Equivalent-Water Utility</t>
  </si>
  <si>
    <t>Units Added</t>
  </si>
  <si>
    <t xml:space="preserve">If mains or hydrant plant accounts have Step II transactions above, specify the net units added for each. </t>
  </si>
  <si>
    <t>ATTACHMENT 21</t>
  </si>
  <si>
    <t>STEP II SUMMARY</t>
  </si>
  <si>
    <t>Step I Total</t>
  </si>
  <si>
    <t xml:space="preserve">Per </t>
  </si>
  <si>
    <t>Step II</t>
  </si>
  <si>
    <t>Combined</t>
  </si>
  <si>
    <t>Attachment 14</t>
  </si>
  <si>
    <t>Additional</t>
  </si>
  <si>
    <t>Plant In Service--Financed by Utility or Municipality</t>
  </si>
  <si>
    <t>Materials and Supplies</t>
  </si>
  <si>
    <t>Less:  Accumulated Depreciation</t>
  </si>
  <si>
    <t>Less: Regulatory Liability and Other</t>
  </si>
  <si>
    <t>Net Investment Rate Base (NIRB)</t>
  </si>
  <si>
    <t>Less: Estimated Net Operating Income (Loss)--Combined Step I and II</t>
  </si>
  <si>
    <t>ATTACHMENT 22</t>
  </si>
  <si>
    <t>STEP II</t>
  </si>
  <si>
    <t xml:space="preserve">Step II Major Project(s) Authorization Docket Number(s)==&gt; </t>
  </si>
  <si>
    <t>Briefly Describe the Major Project(s) Below:</t>
  </si>
  <si>
    <t>Other assumptions relating to Step II Major Project(s) -- Describe below:</t>
  </si>
  <si>
    <t>ATTACHMENT 23</t>
  </si>
  <si>
    <t>Filing the Application to Increase Water Rates on the Electronic Regulatory Filing System (ERF)</t>
  </si>
  <si>
    <t xml:space="preserve">Before sending the rate application to the PSC: </t>
  </si>
  <si>
    <t>Based on the Edit Checks listed, correct or adjust as required to address the item.</t>
  </si>
  <si>
    <t>Rerun the Edit Checks to ensure that only general Edit Checks remain in the list.</t>
  </si>
  <si>
    <t>5.</t>
  </si>
  <si>
    <t>No changes should be made to this application (the Excel file) after submitting to the PSC.  Printed copies or electronic copies regarding this rate application should be printed or electronically produced only from this file or from an exact copy.  (After the PSC has accepted this file and uploaded it to the Commission's Electronic Regulatory Filing system, copies may be reproduced from the ERF system also.)</t>
  </si>
  <si>
    <r>
      <t>General Information</t>
    </r>
    <r>
      <rPr>
        <sz val="12"/>
        <rFont val="Arial"/>
        <family val="2"/>
      </rPr>
      <t>:</t>
    </r>
  </si>
  <si>
    <r>
      <t>Individual accounts</t>
    </r>
    <r>
      <rPr>
        <sz val="12"/>
        <rFont val="Arial"/>
        <family val="2"/>
      </rPr>
      <t xml:space="preserve"> can be created by clicking on the "Setup Individual Account" hyperlink from the ERF Login Page.  Corporate accounts can only be created by the PSC's Record Management Unit (RMU).  Entities must complete a Corporate Electronic Filing Account Request in order to establish an account. </t>
    </r>
  </si>
  <si>
    <r>
      <t>Corporate accounts</t>
    </r>
    <r>
      <rPr>
        <sz val="12"/>
        <rFont val="Arial"/>
        <family val="2"/>
      </rPr>
      <t xml:space="preserve"> have been developed to allow an organization (e.g., utility, law firm, accounting firm, intervener, etc.) to identify users who are authorized to file on their behalf.   This is an optional service offered to corporate entities to allow them greater security in identifying authorized filers, but such entities are not required to use corporate accounts if individual accounts are satisfactory to them.</t>
    </r>
  </si>
  <si>
    <t>6.</t>
  </si>
  <si>
    <t>7.</t>
  </si>
  <si>
    <t>Once the docket is submitted it will be marked as pending which means that the document has been received by the PSC, but it has not been processed.  Staff of RMU will review the documents and approve or reject them.  When the filings are processed the submitter will be notified via email.  The email will include the document name, type, description, received date and file status.  If the filing was rejected, the reason for rejection will be included in the email.</t>
  </si>
  <si>
    <t>8.</t>
  </si>
  <si>
    <t>For general questions about the process of electronic filing or instructions on formatting, etc., please contact the Records Management Unit at (608) 261-8524 or via e-mail at pscrecs@wisconsin.gov.</t>
  </si>
  <si>
    <t>Operation labor and expenses</t>
  </si>
  <si>
    <t>Miscellaneous expenses</t>
  </si>
  <si>
    <t>Rents</t>
  </si>
  <si>
    <t>Maintenance supervision and engineering</t>
  </si>
  <si>
    <t>Maintenance of structures and improvements</t>
  </si>
  <si>
    <t xml:space="preserve">Maint. of collecting and impounding reservoirs </t>
  </si>
  <si>
    <t>Maintenance of lake, river, and other intakes</t>
  </si>
  <si>
    <t>Maintenance of wells and springs</t>
  </si>
  <si>
    <t>Maintenance of supply mains</t>
  </si>
  <si>
    <t>Maintenance of misc. water source plant</t>
  </si>
  <si>
    <t>Operation supervision and engineering</t>
  </si>
  <si>
    <t>Power production labor and expenses</t>
  </si>
  <si>
    <t>Fuel or power purchased for production</t>
  </si>
  <si>
    <t>Pumping labor and expenses</t>
  </si>
  <si>
    <t>Expenses transferred--credit</t>
  </si>
  <si>
    <t>Maintenance of power production equipment</t>
  </si>
  <si>
    <t>Maintenance of pumping equipment</t>
  </si>
  <si>
    <t>Maintenance of water treatment equipment</t>
  </si>
  <si>
    <t xml:space="preserve">Total Water Treatment Expenses </t>
  </si>
  <si>
    <t xml:space="preserve">Storage facilities expenses </t>
  </si>
  <si>
    <t>Transmission and distribution expenses</t>
  </si>
  <si>
    <t>Meter expenses</t>
  </si>
  <si>
    <t>Customer installations expenses</t>
  </si>
  <si>
    <t>Maintenance of distr.reservoirs and standpipes</t>
  </si>
  <si>
    <t>Maintenance of transmission and distr. mains</t>
  </si>
  <si>
    <t>Maintenance of miscellaneous plant</t>
  </si>
  <si>
    <t>Total Transmission and Distribution Expenses</t>
  </si>
  <si>
    <t>Supervision</t>
  </si>
  <si>
    <t>Customer records and collection expenses</t>
  </si>
  <si>
    <t>Miscellaneous customer accounts expenses</t>
  </si>
  <si>
    <t>Customer service and Information Expenses</t>
  </si>
  <si>
    <t>Duplicate charges -- credit</t>
  </si>
  <si>
    <t>Irrigation</t>
  </si>
  <si>
    <t xml:space="preserve">  Irrigation</t>
  </si>
  <si>
    <t>Salaries and wages</t>
  </si>
  <si>
    <t>Repairs of water plant</t>
  </si>
  <si>
    <t>Total Operation &amp; Maint. Expenses</t>
  </si>
  <si>
    <t>Insurance Expense</t>
  </si>
  <si>
    <t>Total General Expenses</t>
  </si>
  <si>
    <t>Total Oper. &amp; Maint. Expenses</t>
  </si>
  <si>
    <t>Residential 1</t>
  </si>
  <si>
    <t>Residential 2</t>
  </si>
  <si>
    <t>Residential 3</t>
  </si>
  <si>
    <t>Residential 4</t>
  </si>
  <si>
    <t>Commercial 2</t>
  </si>
  <si>
    <t>Commercial 1</t>
  </si>
  <si>
    <t>Commercial 3</t>
  </si>
  <si>
    <t>Commercial 4</t>
  </si>
  <si>
    <t>Industrial 1</t>
  </si>
  <si>
    <t>Industrial 2</t>
  </si>
  <si>
    <t>Industrial 3</t>
  </si>
  <si>
    <t>Industrial 4</t>
  </si>
  <si>
    <t>Public Authority 1</t>
  </si>
  <si>
    <t>Public Authority 2</t>
  </si>
  <si>
    <t>Public Authority 4</t>
  </si>
  <si>
    <t>Public Authority 3</t>
  </si>
  <si>
    <t>MF</t>
  </si>
  <si>
    <t>2. During the last 12-month period, list the highest consumption billed for each of the four largest customers in each class. Please select four different customers in each class and not multiple bills from the same customer. A customer may be listed more than once only if they are served by more than one meter and the meter sizes are different.</t>
  </si>
  <si>
    <t>Multifamily Residential 1</t>
  </si>
  <si>
    <t>Multifamily Residential 2</t>
  </si>
  <si>
    <t>Multifamily Residential 3</t>
  </si>
  <si>
    <t>Multifamily Residential 4</t>
  </si>
  <si>
    <t>Multifamily Residential</t>
  </si>
  <si>
    <t>Multifamily</t>
  </si>
  <si>
    <t>Irr.</t>
  </si>
  <si>
    <t xml:space="preserve">  Multifamily Residential</t>
  </si>
  <si>
    <r>
      <t xml:space="preserve">If plant accounts in </t>
    </r>
    <r>
      <rPr>
        <b/>
        <sz val="10"/>
        <color indexed="8"/>
        <rFont val="Arial"/>
        <family val="2"/>
      </rPr>
      <t>Attachment 11 and/or Attachment 11a</t>
    </r>
    <r>
      <rPr>
        <sz val="10"/>
        <color indexed="8"/>
        <rFont val="Arial"/>
        <family val="2"/>
      </rPr>
      <t xml:space="preserve"> (Utility Plant in Service) have transactions for the interim or test year for </t>
    </r>
    <r>
      <rPr>
        <b/>
        <sz val="10"/>
        <color indexed="8"/>
        <rFont val="Arial"/>
        <family val="2"/>
      </rPr>
      <t>Account 343 (Mains)</t>
    </r>
    <r>
      <rPr>
        <sz val="10"/>
        <color indexed="8"/>
        <rFont val="Arial"/>
        <family val="2"/>
      </rPr>
      <t xml:space="preserve"> or</t>
    </r>
    <r>
      <rPr>
        <b/>
        <sz val="10"/>
        <color indexed="8"/>
        <rFont val="Arial"/>
        <family val="2"/>
      </rPr>
      <t xml:space="preserve"> Account 348 (Hydrants)</t>
    </r>
    <r>
      <rPr>
        <sz val="10"/>
        <color indexed="8"/>
        <rFont val="Arial"/>
        <family val="2"/>
      </rPr>
      <t xml:space="preserve"> specify the units added and/or retired for each account . </t>
    </r>
  </si>
  <si>
    <t>Late Fees</t>
  </si>
  <si>
    <t>Water Service Installation</t>
  </si>
  <si>
    <t>Other Charges (Schedule OC-1)</t>
  </si>
  <si>
    <t>Non-Sufficient Funds</t>
  </si>
  <si>
    <t>Special Billing Charge</t>
  </si>
  <si>
    <t>Special Meter Reading Charge</t>
  </si>
  <si>
    <t>Missed Appointment Charge</t>
  </si>
  <si>
    <t>Real Estate Closing Charge</t>
  </si>
  <si>
    <t>Reconnection Charges (Schedule R-1)</t>
  </si>
  <si>
    <t>Normal Business Hours:</t>
  </si>
  <si>
    <t>After Hours:</t>
  </si>
  <si>
    <t>Public Fire Protection Charges (Schedule F-1)</t>
  </si>
  <si>
    <t>The Wisconsin Administrative Code provides alternatives for late payment charges on delinquent bills for service. If the utility is also regulated by the PSC for electric and/or sewer rates, it is recommended that the charge be consistent for all. Please indicate which late payment charge the utility wants to be included in its tariff.</t>
  </si>
  <si>
    <t>General Service Rate Design (Schedule Mg-1)</t>
  </si>
  <si>
    <t>Please indicate the preferred rate design for each customer class:</t>
  </si>
  <si>
    <t>Non-Residential</t>
  </si>
  <si>
    <t>Total Meters</t>
  </si>
  <si>
    <t>Fixed Revenues</t>
  </si>
  <si>
    <t>Total Units</t>
  </si>
  <si>
    <t>Unit Revenues</t>
  </si>
  <si>
    <t>Average No. of Meters</t>
  </si>
  <si>
    <t>Charge</t>
  </si>
  <si>
    <t>Billing Periods per Year:</t>
  </si>
  <si>
    <t>Estimates for Test Year</t>
  </si>
  <si>
    <t>Total Estimated Revenues</t>
  </si>
  <si>
    <t>Municipal Charge</t>
  </si>
  <si>
    <t>Direct Charge to Customers</t>
  </si>
  <si>
    <t xml:space="preserve"> Test Year Units Over Base Units</t>
  </si>
  <si>
    <t xml:space="preserve"> Increase in Revenue Over Base Amount</t>
  </si>
  <si>
    <t xml:space="preserve"> Estimated Total Test Year Revenue </t>
  </si>
  <si>
    <t>Annual Revenue</t>
  </si>
  <si>
    <t xml:space="preserve"> times Authorized Rates per Unit (per tariff schedule)</t>
  </si>
  <si>
    <t>Other (specify):</t>
  </si>
  <si>
    <r>
      <t xml:space="preserve"> </t>
    </r>
    <r>
      <rPr>
        <b/>
        <sz val="11"/>
        <rFont val="Arial"/>
        <family val="2"/>
      </rPr>
      <t>Less</t>
    </r>
    <r>
      <rPr>
        <sz val="11"/>
        <rFont val="Arial"/>
        <family val="2"/>
      </rPr>
      <t>:  Local and school tax equivalent</t>
    </r>
  </si>
  <si>
    <r>
      <t xml:space="preserve">      the sewer bill, then the Meter Balance allocation should not be deducted.  </t>
    </r>
    <r>
      <rPr>
        <b/>
        <sz val="11"/>
        <rFont val="Arial"/>
        <family val="2"/>
      </rPr>
      <t>Insert if other than 50%. ==&gt;</t>
    </r>
  </si>
  <si>
    <r>
      <t xml:space="preserve">more than (plus or minus) 15 percent </t>
    </r>
    <r>
      <rPr>
        <b/>
        <sz val="10"/>
        <rFont val="Arial"/>
        <family val="2"/>
      </rPr>
      <t>must</t>
    </r>
    <r>
      <rPr>
        <sz val="10"/>
        <rFont val="Arial"/>
        <family val="2"/>
      </rPr>
      <t xml:space="preserve"> be explained in detail in the Notes.</t>
    </r>
  </si>
  <si>
    <t>The Private Fire Connections</t>
  </si>
  <si>
    <t>Amortization Expense--Account # 404 (specify):</t>
  </si>
  <si>
    <r>
      <t>TIMES</t>
    </r>
    <r>
      <rPr>
        <sz val="11"/>
        <rFont val="Arial"/>
        <family val="2"/>
      </rPr>
      <t xml:space="preserve"> Rate of Return Requested</t>
    </r>
  </si>
  <si>
    <r>
      <t>TIMES</t>
    </r>
    <r>
      <rPr>
        <sz val="11"/>
        <rFont val="Arial"/>
        <family val="2"/>
      </rPr>
      <t xml:space="preserve"> allowance on O&amp;M expenses</t>
    </r>
  </si>
  <si>
    <r>
      <t xml:space="preserve">      The Return on NIRB (A) </t>
    </r>
    <r>
      <rPr>
        <b/>
        <sz val="11"/>
        <rFont val="Arial"/>
        <family val="2"/>
      </rPr>
      <t>or</t>
    </r>
    <r>
      <rPr>
        <sz val="11"/>
        <rFont val="Arial"/>
        <family val="2"/>
      </rPr>
      <t xml:space="preserve"> the Operating Allowance (B)</t>
    </r>
  </si>
  <si>
    <t>the deferred expense schedule below.</t>
  </si>
  <si>
    <r>
      <rPr>
        <b/>
        <sz val="10"/>
        <rFont val="Arial"/>
        <family val="2"/>
      </rPr>
      <t>Note</t>
    </r>
    <r>
      <rPr>
        <sz val="10"/>
        <rFont val="Arial"/>
        <family val="2"/>
      </rPr>
      <t>: If more than one water utility impact fee exists, answer the above questions for each project.</t>
    </r>
  </si>
  <si>
    <t>4)</t>
  </si>
  <si>
    <r>
      <t xml:space="preserve">Total Sales of Water </t>
    </r>
    <r>
      <rPr>
        <u/>
        <sz val="11"/>
        <rFont val="Arial"/>
        <family val="2"/>
      </rPr>
      <t>at Current Rates:</t>
    </r>
  </si>
  <si>
    <t>Please explain if meters read in cycles:</t>
  </si>
  <si>
    <t>Rate (A)</t>
  </si>
  <si>
    <t>Rate (B)</t>
  </si>
  <si>
    <t>Expense (1)</t>
  </si>
  <si>
    <t>Outstanding Debt Issues - Detailed List:</t>
  </si>
  <si>
    <t>Less:    Plant Outside Limits - January 1</t>
  </si>
  <si>
    <r>
      <t>Assessment Ratio (</t>
    </r>
    <r>
      <rPr>
        <b/>
        <sz val="10"/>
        <rFont val="Arial"/>
        <family val="2"/>
      </rPr>
      <t>show as a decimal</t>
    </r>
    <r>
      <rPr>
        <sz val="10"/>
        <rFont val="Arial"/>
        <family val="2"/>
      </rPr>
      <t>)</t>
    </r>
  </si>
  <si>
    <t>Less:  State Credit</t>
  </si>
  <si>
    <t>Does the utility have class-based volume rates?</t>
  </si>
  <si>
    <t>VOLUME SALES</t>
  </si>
  <si>
    <t>Total Volume Revenue</t>
  </si>
  <si>
    <t>SERVICE CHARGES</t>
  </si>
  <si>
    <t xml:space="preserve">Attachment 3A - Volume Sales Test Year </t>
  </si>
  <si>
    <t>Attachment 3B - Meter Sales Test Year</t>
  </si>
  <si>
    <t>General/Residential</t>
  </si>
  <si>
    <t>Error/
Warning</t>
  </si>
  <si>
    <r>
      <t>Financed by Utility or Municipality</t>
    </r>
    <r>
      <rPr>
        <b/>
        <sz val="10"/>
        <rFont val="Arial"/>
        <family val="2"/>
      </rPr>
      <t>:</t>
    </r>
  </si>
  <si>
    <r>
      <t xml:space="preserve">If the municipality has authorized a lower amount as allowed by Wis. Stat. § 66.0811(2), then place that amount on this line. </t>
    </r>
    <r>
      <rPr>
        <b/>
        <sz val="10"/>
        <rFont val="Arial"/>
        <family val="2"/>
      </rPr>
      <t xml:space="preserve"> If no authorization, leave blank.</t>
    </r>
    <r>
      <rPr>
        <sz val="10"/>
        <rFont val="Arial"/>
        <family val="2"/>
      </rPr>
      <t xml:space="preserve"> ===&gt;</t>
    </r>
  </si>
  <si>
    <t xml:space="preserve">  Less: Plant Outside Municipality  </t>
  </si>
  <si>
    <t xml:space="preserve">Net Taxable Plant   </t>
  </si>
  <si>
    <t xml:space="preserve">Total Step II NET Plant Additions  </t>
  </si>
  <si>
    <t>Times Assessment Ratio (per Attachment 9)</t>
  </si>
  <si>
    <t>Times Net Local and School Rate (per Attachment 9)</t>
  </si>
  <si>
    <t>Amortization Expense--Acct # 404 (If Step II--specify):</t>
  </si>
  <si>
    <r>
      <t>TIMES</t>
    </r>
    <r>
      <rPr>
        <sz val="10"/>
        <rFont val="Arial"/>
        <family val="2"/>
      </rPr>
      <t xml:space="preserve"> Rate of Return Requested for Step II:</t>
    </r>
  </si>
  <si>
    <r>
      <t>TIMES</t>
    </r>
    <r>
      <rPr>
        <sz val="10"/>
        <rFont val="Arial"/>
        <family val="2"/>
      </rPr>
      <t xml:space="preserve"> allowance on O&amp;M expenses</t>
    </r>
  </si>
  <si>
    <r>
      <t xml:space="preserve">      The Return on NIRB (A) </t>
    </r>
    <r>
      <rPr>
        <b/>
        <sz val="10"/>
        <rFont val="Arial"/>
        <family val="2"/>
      </rPr>
      <t>or</t>
    </r>
    <r>
      <rPr>
        <sz val="10"/>
        <rFont val="Arial"/>
        <family val="2"/>
      </rPr>
      <t xml:space="preserve"> the Operating Allowance (B)</t>
    </r>
  </si>
  <si>
    <r>
      <t xml:space="preserve"> Total Sales of Water</t>
    </r>
    <r>
      <rPr>
        <u/>
        <sz val="10"/>
        <rFont val="Arial"/>
        <family val="2"/>
      </rPr>
      <t xml:space="preserve"> at Current Rates:</t>
    </r>
  </si>
  <si>
    <t xml:space="preserve">   The requested return can be different than in Step I.  
   Enter the Step II requested rate in this box. </t>
  </si>
  <si>
    <t>Attachment 16 - Impact Fees</t>
  </si>
  <si>
    <t>Days Available</t>
  </si>
  <si>
    <t>Are you interested in rate design to promote conservation goals?</t>
  </si>
  <si>
    <t>Attachment 18 - Water Conservation Spending</t>
  </si>
  <si>
    <t>Attachment 3W - Wholesale Revenues</t>
  </si>
  <si>
    <t>Irrigation 1</t>
  </si>
  <si>
    <t>Irrigation 2</t>
  </si>
  <si>
    <t>Irrigation 3</t>
  </si>
  <si>
    <t>Irrigation 4</t>
  </si>
  <si>
    <t>TOTAL ESTIMATED TEST YEAR WHOLESALE FIRE PROTECTION REVENUE</t>
  </si>
  <si>
    <t>Billing periods --&gt;</t>
  </si>
  <si>
    <t>Enter Test Year Estimates on this Line</t>
  </si>
  <si>
    <t>3024 (1-1-2014)</t>
  </si>
  <si>
    <t>Please enter the construction docket(s) below:</t>
  </si>
  <si>
    <t xml:space="preserve">  Please list the construction docket(s) below:</t>
  </si>
  <si>
    <t>List the meter size, billing date, and the billed consumption.</t>
  </si>
  <si>
    <t>Attachment 2A – Consumer Analysis-Actual Latest 12 Months (Volume Sales)</t>
  </si>
  <si>
    <t>Attachment 3A – Consumer Analysis-Test Year (Volume Sales)</t>
  </si>
  <si>
    <t>Attachment 3B - Consumer Analysis - Test Year (Service Charges)</t>
  </si>
  <si>
    <t>Attachment 2B - Consumer Analysis - Actual Latest 12 Months (Service Charges)</t>
  </si>
  <si>
    <t>Attachment 9 – Payment in Lieu of Tax Expense</t>
  </si>
  <si>
    <t>Attachment 13 –  Accumulated Depreciation, Materials &amp; Supplies Inventory, Regulatory Liability, and Other Adjustments</t>
  </si>
  <si>
    <t>Attachment 16 – Impact Fees</t>
  </si>
  <si>
    <t>Attachment 23 – Directions for Submitting Application to PSC</t>
  </si>
  <si>
    <t>Provide the authorized rates for volume consistent with Schedule Mg -1.</t>
  </si>
  <si>
    <t xml:space="preserve">At the top of the Attachment 2A, indicate the number of annual billings, such as 4 for quarterly billing. This is the basis for computing the annual revenue for meter charges. </t>
  </si>
  <si>
    <t>Provide the actual total volume for the most recent 12-months for each class.</t>
  </si>
  <si>
    <t xml:space="preserve">   a.  Provide the authorized meter charges consistent with Schedule Mg-1.</t>
  </si>
  <si>
    <t xml:space="preserve">   b.  Complete Attachment 2B using actual data from the 12 months for each customer class.</t>
  </si>
  <si>
    <t xml:space="preserve">   c.  The average number of meters is determined based upon the acutal number billed each period and averaged depending on the </t>
  </si>
  <si>
    <t xml:space="preserve">        number of billing periods for the latest 12 months.</t>
  </si>
  <si>
    <t xml:space="preserve">   d.  Provide the actual total billed revenues for the same 12 months.  If the variance between the total revenues and actul billed</t>
  </si>
  <si>
    <t xml:space="preserve">        revenue is greater than 3 percent for any customer class, the variance must be explained in the Notes (Attachment 19).</t>
  </si>
  <si>
    <t>Provide the authorized meter charges consistent with Schedule Mg-1.</t>
  </si>
  <si>
    <t>Complete Attachment 2B using actual data from the 12 months for each customer class.</t>
  </si>
  <si>
    <t>The schedule is a continuation of Attachment 2A.</t>
  </si>
  <si>
    <t>Complete Attachment 2A using actual data from the latest 12 months for each customer class.</t>
  </si>
  <si>
    <t>Attachment 2C - Sales Historical Data and Forecasts</t>
  </si>
  <si>
    <t xml:space="preserve">Attachment 3A – Consumer Analysis-Test Year (Volume Sales) </t>
  </si>
  <si>
    <t>The consumer analysis must include any projection of customer growth due or demand reduction due to conservation.</t>
  </si>
  <si>
    <t>This schedule is a continuation of Attachment 3A.</t>
  </si>
  <si>
    <t>Attachment 9 – Property in Lieu of Tax Expense</t>
  </si>
  <si>
    <t>Attachment 13 – Accumulated Depreciation, Materials and Supplies Inventory, Regulatory Liability and Other Adjustments</t>
  </si>
  <si>
    <t>List test year consumption estimates for each wholesale customer.</t>
  </si>
  <si>
    <t>Details concerning any large changes in usage or the gain or loss of a large customer served by a wholesale customer should be explained in the Notes (Attachment 18).</t>
  </si>
  <si>
    <t>For a Municipal Charge based upon mains and/or hydrants, complete the MUNICIPAL CHARGE section of Attachment 5.</t>
  </si>
  <si>
    <t>For Direct Charges to Customers based upon equivalent meters or equivalent services, complete DIRECT CHARGE TO CUSTOMERS section.</t>
  </si>
  <si>
    <t>i.    The Authorized Rates are obtained from the current tariff sheet, typically Schedule F-1 or Fd-1.</t>
  </si>
  <si>
    <t>The Average Number of Meters is derived from Attachment 3B.</t>
  </si>
  <si>
    <t>Attachment 9 includes the instructions for completing the Payment in Lieu of Tax Expense.</t>
  </si>
  <si>
    <t>Attachment 11 – Utility Plant in Service - Financed by Utility or Municipality</t>
  </si>
  <si>
    <t>Attachment 11a– Utility Plant in Service--Contributed Plant</t>
  </si>
  <si>
    <t>Indicate the number of feet of main and number of hydrants being added and retired.</t>
  </si>
  <si>
    <t>Attachment 18 – Water Conservation Spending</t>
  </si>
  <si>
    <t>In Part Two, if amounts for materials and supplies are included in the Step II Additional column, explain fully in the Notes (Attachment 22).</t>
  </si>
  <si>
    <t>Part Three calculates the requested increase.</t>
  </si>
  <si>
    <t>d.  The items that need to be corrected will appear in "red" in the edit check listing.</t>
  </si>
  <si>
    <t>ATTACHMENT 2A</t>
  </si>
  <si>
    <t>ATTACHMENT 2B</t>
  </si>
  <si>
    <t>Attachment 2C</t>
  </si>
  <si>
    <t>ATTACHMENT 3A</t>
  </si>
  <si>
    <t>ATTACHMENT 3B</t>
  </si>
  <si>
    <t>ATTACHMENT 3W</t>
  </si>
  <si>
    <t>Attachment 2B - Meter Sales Historical</t>
  </si>
  <si>
    <t>Attachment 2A - Volume Sales Historical</t>
  </si>
  <si>
    <t>All remaining general items in the edit check list should be fully explained in the Notes on Attachment 19.</t>
  </si>
  <si>
    <t>Only change these rates if there has been an SRC or adjustment for purchased water in the last 12 months</t>
  </si>
  <si>
    <t xml:space="preserve">Note:  </t>
  </si>
  <si>
    <t>List rates and billing frequency consistent with Schedule W-1 in your tariff sheet.</t>
  </si>
  <si>
    <t>No</t>
  </si>
  <si>
    <t xml:space="preserve">
</t>
  </si>
  <si>
    <r>
      <t xml:space="preserve">1. Double-Click the white box. Type as needed.
2. </t>
    </r>
    <r>
      <rPr>
        <b/>
        <i/>
        <sz val="12"/>
        <rFont val="Arial"/>
        <family val="2"/>
      </rPr>
      <t xml:space="preserve">Alt + Enter </t>
    </r>
    <r>
      <rPr>
        <b/>
        <sz val="12"/>
        <rFont val="Arial"/>
        <family val="2"/>
      </rPr>
      <t xml:space="preserve">will insert a 
new line into the notes box.
</t>
    </r>
    <r>
      <rPr>
        <sz val="14"/>
        <rFont val="Arial"/>
        <family val="2"/>
      </rPr>
      <t/>
    </r>
  </si>
  <si>
    <r>
      <rPr>
        <i/>
        <u/>
        <sz val="10"/>
        <rFont val="Arial"/>
        <family val="2"/>
      </rPr>
      <t xml:space="preserve">
Important Information</t>
    </r>
    <r>
      <rPr>
        <sz val="10"/>
        <rFont val="Arial"/>
        <family val="2"/>
      </rPr>
      <t>: 
Only clicking '</t>
    </r>
    <r>
      <rPr>
        <i/>
        <sz val="10"/>
        <rFont val="Arial"/>
        <family val="2"/>
      </rPr>
      <t>enter</t>
    </r>
    <r>
      <rPr>
        <sz val="10"/>
        <rFont val="Arial"/>
        <family val="2"/>
      </rPr>
      <t xml:space="preserve">' to move to the next line will not work.
When returning to this page, double-click after your previous comment. 
**If you click once, you will have selected the whole box. Typing will result in deleting your previous work. If this occurs, click undo and then double-click.**
</t>
    </r>
  </si>
  <si>
    <t>What are the estimated effects of the utility's planned water conservation and efficiency program on water sales for the test year?  Estimate the reduction in volumetric sales, by customer class, for the test year.  Test year sales in Attachment 3 should reflect adjustments for conservation.</t>
  </si>
  <si>
    <t>Test Year Sales
Without Conservation</t>
  </si>
  <si>
    <t>Conservation Adjusted
Test Year Sales</t>
  </si>
  <si>
    <t>If your utility serves in more than one county, please create blended tax rates to insert in the test year column.</t>
  </si>
  <si>
    <t>ATTACHMENT 18</t>
  </si>
  <si>
    <t>Specify
Units</t>
  </si>
  <si>
    <t>Billing
Date</t>
  </si>
  <si>
    <t>Meter
Size</t>
  </si>
  <si>
    <t>Mgal</t>
  </si>
  <si>
    <t>CCF</t>
  </si>
  <si>
    <t>1 month</t>
  </si>
  <si>
    <t>2 months</t>
  </si>
  <si>
    <t>3 months</t>
  </si>
  <si>
    <t>4 months</t>
  </si>
  <si>
    <t>6 months</t>
  </si>
  <si>
    <t>No. of Month(s) of Consumption</t>
  </si>
  <si>
    <t>5.  What is the estimated start date for reading 
     meters for your next billing period?</t>
  </si>
  <si>
    <t>Irrigation Rate</t>
  </si>
  <si>
    <t>Please indicate if you would like an irrigation rate or an additional meter charge (choose one or none).</t>
  </si>
  <si>
    <t>Additional Meter Charge (Am-1)</t>
  </si>
  <si>
    <t>If you decide to pursue an irrigation rate, then please provide the following information:</t>
  </si>
  <si>
    <t>The Public Service Commission of Wisconsin defines the irrigation customer class as “customers who have water service provided primarily for landscape irrigation.  For the purpose of this schedule, landscape irrigation includes the use of water to sustain crops, lawns, or landscapes on any residential, commercial, industrial, or public authority property, including water used for irrigating athletic fields, parks, and golf courses.  Irrigation customers include those customers that have multiple meters installed on a single lateral for the purpose of measuring water that is not discharged to the sanitary sewer system.  The utility shall classify each additional meter as an irrigation meter and treat each meter as a separate general service customer.”</t>
  </si>
  <si>
    <r>
      <rPr>
        <b/>
        <sz val="10"/>
        <rFont val="Arial"/>
        <family val="2"/>
      </rPr>
      <t xml:space="preserve">1) </t>
    </r>
    <r>
      <rPr>
        <sz val="10"/>
        <rFont val="Arial"/>
        <family val="2"/>
      </rPr>
      <t xml:space="preserve">We will eliminate Schedule Am-1 from your tariff.  All existing Am-1 deduct meters will become irrigation meters and will be billed as such.
</t>
    </r>
  </si>
  <si>
    <r>
      <rPr>
        <b/>
        <sz val="10"/>
        <rFont val="Arial"/>
        <family val="2"/>
      </rPr>
      <t xml:space="preserve">2) </t>
    </r>
    <r>
      <rPr>
        <sz val="10"/>
        <rFont val="Arial"/>
        <family val="2"/>
      </rPr>
      <t>Please identify all of your irrigation customers. This will become your new irrigation customer class that will receive its own unique uniform water rate.  Water for irrigation will have higher volume rates than general service volume rates due to the extra demand this customer class places on the utility system.</t>
    </r>
  </si>
  <si>
    <r>
      <rPr>
        <b/>
        <sz val="10"/>
        <rFont val="Arial"/>
        <family val="2"/>
      </rPr>
      <t xml:space="preserve">3) </t>
    </r>
    <r>
      <rPr>
        <sz val="10"/>
        <rFont val="Arial"/>
        <family val="2"/>
      </rPr>
      <t xml:space="preserve">Update the meter count, fixed revenues, volume revenues, and total actual billed revenues for the irrigation customer class as shown in Attachment 2B.  Remember that as you add a meter to the irrigation class, you must subtract it from one of the other customer classes. </t>
    </r>
  </si>
  <si>
    <r>
      <rPr>
        <b/>
        <sz val="10"/>
        <rFont val="Arial"/>
        <family val="2"/>
      </rPr>
      <t>4)</t>
    </r>
    <r>
      <rPr>
        <sz val="10"/>
        <rFont val="Arial"/>
        <family val="2"/>
      </rPr>
      <t xml:space="preserve"> Please identify the annual combined consumption of the irrigation meters by rate block.  Update Attachment 2A accordingly.  Remember that as you add consumption to the irrigation customer class, you must subtract it from some of the other customer classes.  The irrigation usage must be based on your customers that will be reclassified as irrigation customers.</t>
    </r>
  </si>
  <si>
    <t>Attachment 10 - Operating Expenses</t>
  </si>
  <si>
    <t>Do you request to amend the utility's tariff related to DPA's for residential customers?</t>
  </si>
  <si>
    <t>Utilities proposing a modified rate structure should submit detailed customer billing information for the most recent 12 months. For each billing period, include an analysis by customer class of the number of customer bills ending in each 1,000 gallon or 100 cubic foot increment, the total number of bills in the billing period, and the total volume of sales in the billing period.  For residential customers, it is suggested that the increments be in 1,000's of gallons, up to 25,000 gallons per month (75,000 gallons per quarter), and then by 5,000 gallon increments.</t>
  </si>
  <si>
    <t>Schedule X-4: Deferred Payment Agreements (DPA)</t>
  </si>
  <si>
    <t>2. Do you currently offer budget billing to water customers?  If so, please provide your policy on Attach19.</t>
  </si>
  <si>
    <t>1. Do you currently offer leak credits to water customers?  If so, please provide your policy on Attach19.</t>
  </si>
  <si>
    <t>Schedule X-4: Continued</t>
  </si>
  <si>
    <t>Rebate Programs</t>
  </si>
  <si>
    <t xml:space="preserve">Does the Utility wish to establish a new rebate or incentive program
for water saving fixtures and/or water efficiency process changes?  </t>
  </si>
  <si>
    <t xml:space="preserve">Once a conservation program is approved, the Utility will be required to report annually on the costs, gallon savings, and other supporting information about its program by completing page W-27 in the WEGS Annual Reporting System.  </t>
  </si>
  <si>
    <r>
      <t xml:space="preserve">If yes, the Utility must obtain PSC approval before spending additional ratepayer-generated funds on these efforts.  In general, the PSC allows utilities to spend one to two percent of total operating revenues on water conservation programs.  Please provide the PSC with an implementation plan that is consistent with “Implementing Toilet Rebates and Other Incentive Programs” found on our website: </t>
    </r>
    <r>
      <rPr>
        <u/>
        <sz val="10"/>
        <color indexed="12"/>
        <rFont val="Arial"/>
        <family val="2"/>
      </rPr>
      <t/>
    </r>
  </si>
  <si>
    <t>http://psc.wi.gov/conservation/documents/wc-RebateProgram.pdf</t>
  </si>
  <si>
    <t>Is the utility currently collecting impact fees, 
capacity assessments, or other such fees?</t>
  </si>
  <si>
    <t>Class-based rates are separate rate schedules for residential, multifamily, nonresidential (commercial, industrial, public authority) or irrigation classes</t>
  </si>
  <si>
    <t>Field Staff</t>
  </si>
  <si>
    <t>Admin Staff</t>
  </si>
  <si>
    <t>Vehicle</t>
  </si>
  <si>
    <t>R-1 Total</t>
  </si>
  <si>
    <t>Hourly Rate</t>
  </si>
  <si>
    <t># of Hours</t>
  </si>
  <si>
    <t>All new formal rate case applications and subsequent filings must be filed with the PSC in electronically on the PSC’s Electronic Regulatory Filing system at http://apps.psc.wi.gov/vs2015/ERF/ERFhome.aspx</t>
  </si>
  <si>
    <t>Detailed instructions and guidelines can be found on the PSC's Electronic Regulatory Filing system web site at: http://apps.psc.wi.gov/vs2015/ERF/info/help.aspx</t>
  </si>
  <si>
    <t>Use http://apps.psc.wi.gov/vs2015/ERF/ERFhome.aspx to submit filings to the PSC.</t>
  </si>
  <si>
    <t>Click "Upload Document" then Type in a valid user name and password.</t>
  </si>
  <si>
    <r>
      <rPr>
        <b/>
        <sz val="10"/>
        <color indexed="8"/>
        <rFont val="Arial"/>
        <family val="2"/>
      </rPr>
      <t xml:space="preserve">Option 1) </t>
    </r>
    <r>
      <rPr>
        <sz val="10"/>
        <color indexed="8"/>
        <rFont val="Arial"/>
        <family val="2"/>
      </rPr>
      <t xml:space="preserve"> the lowest volumetric rate provided in the utility’s Schedule Mg-1.</t>
    </r>
  </si>
  <si>
    <r>
      <rPr>
        <b/>
        <sz val="10"/>
        <color indexed="8"/>
        <rFont val="Arial"/>
        <family val="2"/>
      </rPr>
      <t>Option 2)</t>
    </r>
    <r>
      <rPr>
        <sz val="10"/>
        <color indexed="8"/>
        <rFont val="Arial"/>
        <family val="2"/>
      </rPr>
      <t xml:space="preserve">  $X.YZ per [1,000 gallons/100 cubic feet].  See your records or most recent cost study.</t>
    </r>
  </si>
  <si>
    <t>Provide a copy of the most recent impact fee study and impact fee ordinance.</t>
  </si>
  <si>
    <t>Utility Financed Plant from Attachment 11</t>
  </si>
  <si>
    <t>Contributed Plant from Attachment 11a</t>
  </si>
  <si>
    <t>The total financing of additions should agree to the total additions to plant as forecast on Attachments 11 and 11a.</t>
  </si>
  <si>
    <t>ATTACHMENT 19a</t>
  </si>
  <si>
    <t>Required Supplemental Information</t>
  </si>
  <si>
    <t>Pensions and Benefits Expense</t>
  </si>
  <si>
    <t>or Account 926 (Classes AB and C).</t>
  </si>
  <si>
    <t>Pensions</t>
  </si>
  <si>
    <t>Health Insurance</t>
  </si>
  <si>
    <t>Life Insurance</t>
  </si>
  <si>
    <t>Other-Explain</t>
  </si>
  <si>
    <t>Total for Account 686 or 926</t>
  </si>
  <si>
    <t>Membership Dues</t>
  </si>
  <si>
    <t>AWWA</t>
  </si>
  <si>
    <t>WRWA</t>
  </si>
  <si>
    <t>MEG - water</t>
  </si>
  <si>
    <t>Alliance for Water Efficiency</t>
  </si>
  <si>
    <t>Water Tower Painting</t>
  </si>
  <si>
    <t>Year Last Painted</t>
  </si>
  <si>
    <t>Next Date To Be Painted</t>
  </si>
  <si>
    <t>Current Cost</t>
  </si>
  <si>
    <t>Number of Years Between Paintings</t>
  </si>
  <si>
    <t>Annual Normaliza-tion</t>
  </si>
  <si>
    <t>Other Normalizations</t>
  </si>
  <si>
    <t>See Instructions for Attachment 10.</t>
  </si>
  <si>
    <t>Explain on Attachment 19.</t>
  </si>
  <si>
    <t>Second Meters</t>
  </si>
  <si>
    <t>If yes, fill out the summary below.</t>
  </si>
  <si>
    <t>Revenues from additional meters should be reported in Account 474, Other Water Revenue on Attachment 7.</t>
  </si>
  <si>
    <t>General Service Meters</t>
  </si>
  <si>
    <t>Additional Meters</t>
  </si>
  <si>
    <t>The totals should agree with the meter counts reported on page W-23 of Annual Report.</t>
  </si>
  <si>
    <t>Payroll Allocations</t>
  </si>
  <si>
    <t xml:space="preserve">If employees perform work for more than one function, please explain how costs are assigned to the water utility.  </t>
  </si>
  <si>
    <t xml:space="preserve">For example, when an employee performs work for municipal parks, sewer, water, and private lead service lines, </t>
  </si>
  <si>
    <t>describe how the salary and wages dollars are assigned to the regulated water utility.</t>
  </si>
  <si>
    <t>Prior
Cost</t>
  </si>
  <si>
    <t>Last Actual
Year End Count</t>
  </si>
  <si>
    <r>
      <t xml:space="preserve">1. Double-Click the white box. Type as needed.
2. </t>
    </r>
    <r>
      <rPr>
        <b/>
        <i/>
        <sz val="9"/>
        <rFont val="Arial"/>
        <family val="2"/>
      </rPr>
      <t xml:space="preserve">Alt + Enter </t>
    </r>
    <r>
      <rPr>
        <b/>
        <sz val="9"/>
        <rFont val="Arial"/>
        <family val="2"/>
      </rPr>
      <t xml:space="preserve">will insert a 
new line into the notes box.
</t>
    </r>
    <r>
      <rPr>
        <sz val="14"/>
        <rFont val="Arial"/>
        <family val="2"/>
      </rPr>
      <t/>
    </r>
  </si>
  <si>
    <t>Provide the year the facilities were or will be constructed.</t>
  </si>
  <si>
    <t>Indicate diameter(s) and length(s) of main added and retired</t>
  </si>
  <si>
    <t>These totals should agree with Attach10</t>
  </si>
  <si>
    <t>Are there any specific timing constraints that this case is depending on?  Are there any external deadlines related to funding or other issues (DNR or safe drinking water) that Commission staff should be aware of?</t>
  </si>
  <si>
    <t>ATTACHMENT 19b</t>
  </si>
  <si>
    <t>CREDIT CARD FEES</t>
  </si>
  <si>
    <t>On January 25, 2019, the PSC sent communication to all municipal utilities outlining recent decisions to allow utilities to recover credit card processing fees through rates.  As stated in that letter, municipal utilities may now request recovery of credit cards fees in a conventional rate case.   If the Utility currently allows customers to pay utility bills using a credit card, please answer Question #1.  If the Utility currently wants to include the cost to process credit cards payments in the estimated test year O&amp;M expenses, please answer Question #2.</t>
  </si>
  <si>
    <t>A. Does the Utility or customer currently pay the transaction fee?</t>
  </si>
  <si>
    <t>B.  What expense account(s) does the Utility use to record credit card fees?</t>
  </si>
  <si>
    <t>C.  Provide the most recent three years of credit card fee expense.</t>
  </si>
  <si>
    <t>D.  Identify either the vendor or the third party company used by the utility.</t>
  </si>
  <si>
    <t>E.  Provide a breakdown of the cost per transaction and any other fees that are incurred by the Utility.</t>
  </si>
  <si>
    <t>Does the Utility currently offer credit card billing?  If yes, provide the following:</t>
  </si>
  <si>
    <t>Did the Utility include any expenses related to accepting credit cards in the test year O&amp;M forecast?  If not, does the Utility want to include such expenses in the current application?  If yes to either question, please provide further information on the questions below?</t>
  </si>
  <si>
    <t xml:space="preserve">A.  Provide the test year estimate and methodology used to determine the forecast? </t>
  </si>
  <si>
    <t xml:space="preserve">B.  Provide the allocation percentage(s) and methodology used to allocate credit card fees across utilities or shared services. </t>
  </si>
  <si>
    <t>C.  What O&amp;M account did the Utility use for the test year estimate?</t>
  </si>
  <si>
    <t>D.  Identify the vendor the Utility will be using.</t>
  </si>
  <si>
    <t>E.  Provide a breakdown of the cost per transaction and any other fees that will be incurred by the Utility.</t>
  </si>
  <si>
    <t xml:space="preserve">F.  What percentage of customers currently pay by credit card? </t>
  </si>
  <si>
    <t xml:space="preserve">H.  Has the utility worked with vendor(s) to negotiate lower fees?
          H1:  Identify utility efforts to minimize fees.
          H2:  Provide name of vendor(s) contacted.
          H3:  Provide quoted amount(s) from each vendor contacted.
</t>
  </si>
  <si>
    <t>G.  Does the Utility expect more customers to use credit cards if this payment option is offered at no charge to the 
      customer?  If so, what percentage of customers do you estimate will pay by credit card?</t>
  </si>
  <si>
    <t>$</t>
  </si>
  <si>
    <t>Columns H to L on W-23</t>
  </si>
  <si>
    <t>Columns I or Q on W-23</t>
  </si>
  <si>
    <t>If the utility does not have Schedule Am-1 but has customers with seconds meters, how are these customers billed for the second meter?</t>
  </si>
  <si>
    <t xml:space="preserve">1.  Does the utility have water customers that reside outside the municipal limits?    </t>
  </si>
  <si>
    <r>
      <t xml:space="preserve">If your utility collects PFP through a </t>
    </r>
    <r>
      <rPr>
        <b/>
        <sz val="10"/>
        <color indexed="8"/>
        <rFont val="Arial"/>
        <family val="2"/>
      </rPr>
      <t>municipal</t>
    </r>
    <r>
      <rPr>
        <sz val="10"/>
        <color indexed="8"/>
        <rFont val="Arial"/>
        <family val="2"/>
      </rPr>
      <t xml:space="preserve"> charge, please answer the following question.</t>
    </r>
  </si>
  <si>
    <r>
      <t xml:space="preserve">2.  </t>
    </r>
    <r>
      <rPr>
        <b/>
        <sz val="10"/>
        <color indexed="8"/>
        <rFont val="Arial"/>
        <family val="2"/>
      </rPr>
      <t>If yes</t>
    </r>
    <r>
      <rPr>
        <sz val="10"/>
        <color indexed="8"/>
        <rFont val="Arial"/>
        <family val="2"/>
      </rPr>
      <t xml:space="preserve">, does the utility wish to provide an outside utility rate to recover public fire 
    protection costs through a Schedule Mg-2? </t>
    </r>
  </si>
  <si>
    <t>Yes</t>
  </si>
  <si>
    <t>FAQs:  Meters</t>
  </si>
  <si>
    <r>
      <t>For more information about second meters, please visit the "</t>
    </r>
    <r>
      <rPr>
        <i/>
        <sz val="10"/>
        <rFont val="Arial"/>
        <family val="2"/>
      </rPr>
      <t>What are the allowable configurations and applicable charges for additional meters</t>
    </r>
    <r>
      <rPr>
        <sz val="10"/>
        <rFont val="Arial"/>
        <family val="2"/>
      </rPr>
      <t>?" on the Commission's wesbite using the following link.</t>
    </r>
  </si>
  <si>
    <t>Please enter any full depreciated assets below:</t>
  </si>
  <si>
    <r>
      <t xml:space="preserve">How </t>
    </r>
    <r>
      <rPr>
        <b/>
        <u/>
        <sz val="10"/>
        <color indexed="8"/>
        <rFont val="Arial"/>
        <family val="2"/>
      </rPr>
      <t>will</t>
    </r>
    <r>
      <rPr>
        <sz val="10"/>
        <color indexed="8"/>
        <rFont val="Arial"/>
        <family val="2"/>
      </rPr>
      <t xml:space="preserve"> the utility collect the PFP charge?</t>
    </r>
  </si>
  <si>
    <t>PFP Study</t>
  </si>
  <si>
    <t>2.  Amount or percentage of total PFP costs that will be recovered in the municipal charge versus the percentage that will be recovered through a direct charge on the water bill.</t>
  </si>
  <si>
    <t>If the Utility is requesting to switch its method of cost recovery for public fire protection (PFP) during this rate case, additional information is needed.</t>
  </si>
  <si>
    <t>Helpful Links:</t>
  </si>
  <si>
    <t xml:space="preserve">1.  Proposed method to compute PFP charge. The four most common preapproved methods are the following; Equivalent Meters Method, Equivalent Services Method, Property Values Method, and Square Feet of Improvements Method.  A full description of each method can be found in the Commission’s Public Fire Protection Charge Study (PSC REF#: 296859) (Link Below). </t>
  </si>
  <si>
    <t>PFP FAQ Webpage</t>
  </si>
  <si>
    <t>Change PFP Outside CRC Application</t>
  </si>
  <si>
    <t>Describe any proposed modifications to the general service rates or list any other proposed tariff or schedule changes below:
Also, please indicate any tariff language the Utility currently has that is considered non-standard.  (e.g. X-1, Mg-1, F-1, etc.)</t>
  </si>
  <si>
    <t xml:space="preserve">The electronic application is for an increase in water rates only.  If the utility wants to request a sewer rate increase, use the PSC Web Site link below to request an application or email the PSC at PSCWaterAppmail@wisconsin.gov. </t>
  </si>
  <si>
    <t>https://apps.psc.wi.gov/RATES/ratecase/water.aspx</t>
  </si>
  <si>
    <t xml:space="preserve">Rate case applications submitted prior to August 1 will use the current year as a test year, while applications submitted after August 1 will use the next calendar year as a test year. For more information on the test year concept go to the following link: </t>
  </si>
  <si>
    <t>https://psc.wi.gov/Pages/ForUtilities/Water/Conventional-Rate-Case.aspx</t>
  </si>
  <si>
    <t xml:space="preserve">Don’t list any customer names for privacy reasons.  </t>
  </si>
  <si>
    <t>If the Utility had a change in rates during the latest 12 months, use pro-rated rates. For example, if the Utility had a charge $5.00 for the first six months and $5.50 for the remainder of the year, the charge should be listed as $5.25.</t>
  </si>
  <si>
    <t>If the Utility had a change in rates during the latest 12 months, use pro-rated rates. For example, if the Utility had a charge of $15.00 for the first six months and $17.00 for the remainder of the year, the charge should be listed as $16.00.</t>
  </si>
  <si>
    <t>Am-1 revenues or revenue from second meters should not be included on this attachment.  Instead those revenues should be included on Attachment 7 in Account 474 (Other Water Revenues).</t>
  </si>
  <si>
    <t>The average number of meters is determined based upon the actual number billed each period and averaged depending on the number of billing periods for the latest 12 months.</t>
  </si>
  <si>
    <t xml:space="preserve">This schedule lists sales by volume and average customer count for the test year plus the previous 5 years.  Test year amounts are derived from Attachment 3 of the water rate increase application whereas the previous 5 years are derived from Page W-02, Sales of Water, contained in the PSC annual report. If there is an interim year and the most recent year is showing as blank, the Utility should fill in the customer count and usage for that year. </t>
  </si>
  <si>
    <t>Provide the meter charges for the estimated test year.</t>
  </si>
  <si>
    <t xml:space="preserve">Use the Utility’s most current rates. </t>
  </si>
  <si>
    <t>Using the data from Attachment 2, (percentage distribution of volume sales by rate blocks), provide a consumer analysis for the estimated test year.</t>
  </si>
  <si>
    <t>Use the Utility's most current rates.</t>
  </si>
  <si>
    <t xml:space="preserve">This schedule is a summary of various methods of charging for Public Fire Protection and must be consistent with the Utility’s current F-1 or Fd-1 tariff.  </t>
  </si>
  <si>
    <t>For Direct Charges to Customers based upon a method other than equivalent meters or equivalent services, detail must be submitted to the PSC supporting this method.</t>
  </si>
  <si>
    <t xml:space="preserve">Test year revenue from second meters or Am-1meters should be included in Account 474 (Other Water Revenues) on this attachment. </t>
  </si>
  <si>
    <t xml:space="preserve">The test year and interim year amounts are derived for the Property Tax Equivalent Payable for the Year, and the Local and School Tax Equivalent on Meters Charged to the Sewer Department (sewer meter allocation). </t>
  </si>
  <si>
    <t xml:space="preserve">Depending on the timing of the application, the interim year may be an estimate or actual data. Interim year refers to an estimate unless the Utility has actual data. </t>
  </si>
  <si>
    <t xml:space="preserve">A historical three-year average is provided.  If expenses fluctuate from year to year, the average can be helpful when determining the interim and test year estimates.  </t>
  </si>
  <si>
    <t>A schedule showing each individual water reservoir/tower detailing the last date and cost of repainting or repair must be completed in the Notes, (Attachment 19a).  The average annual cost must be normalized as part of the test year estimated expense.</t>
  </si>
  <si>
    <t xml:space="preserve">Rate case expenses are included in Regulatory Commission Expense and must be normalized over an appropriate time period based upon the utility’s past frequency of rate increase requests.  Conventional Rate Case expenses have a 0.8% of limit for Commission charge to the Utility.  </t>
  </si>
  <si>
    <t>Additions and retirements should be estimated for both the interim year and the test year.  All Utilities should report the actual costs for retirements.  If class C or D Utilities do not have actual costs, they can use the benchmark retirement rates.</t>
  </si>
  <si>
    <t xml:space="preserve">If the utility is requesting that any of the plant additions be treated as major projects, use the column titled “Major Construction Additions”.  Major project treatment results in full effect when calculating the test year tax equivalent expense, depreciation expense, and rate base components.  </t>
  </si>
  <si>
    <t xml:space="preserve">Major projects are those that represent very large costs for the utility, occur infrequently, and typically require construction approval from the PSC.  Projects which occur frequently, such as an ongoing water main, service, hydrant, and meter replacement programs, may be costly but are considered routine and are not major projects.  Upgrading technology or non-routine meter replacements require construction approval from the PSC.  </t>
  </si>
  <si>
    <t xml:space="preserve">If a part or all of a major project started during the test year but will not be placed into service by December 31 of the test year, but will be placed into service during the following year, that portion of the project must be considered in Step II (See Attachments 20 -22).  </t>
  </si>
  <si>
    <t>If the utility has a major project that will be constructed over several years before it is placed in service, the utility may qualify for an addition to the rate of return during the construction period to help pay financing costs incurred during construction.  If this situation occurs, contact the PSC for further information.</t>
  </si>
  <si>
    <t xml:space="preserve">DO NOT INCLUDE CONTRIBUTED PLANT TRANSACTIONS IN ATTACHMENT 11.  Plant funded by the TIF should be included on Attachment 11. </t>
  </si>
  <si>
    <t xml:space="preserve">Additions and retirements should be estimated for both the interim year and the test year. Refer to the Utility Reference Manual for help with estimating costs. </t>
  </si>
  <si>
    <t xml:space="preserve">https://psc.wi.gov/Documents/water/BenchmarkRetirement.pdf </t>
  </si>
  <si>
    <t xml:space="preserve">Contributed Plant additions and retirements are shown in Attachment 11a only.  The Utility should not record plant funded by Tax Incremental Financing (TIF), on this attachment. Instead it should be recorded on Attachment 11. </t>
  </si>
  <si>
    <t>The interim year depreciation accrual is based on the utility's current depreciation rates.</t>
  </si>
  <si>
    <t>Depreciation Rates (B) are based upon the PSC Recommended Rate Benchmarks.  If any rate other than the benchmark will be used for the test year, the rate should be entered. If an account is fully depreciated, a depreciation rate of 0% must be inserted.</t>
  </si>
  <si>
    <t>Enter the appropriate adjustment information at the bottom of the schedule to reconcile the depreciation accrual to the estimated depreciation expense.</t>
  </si>
  <si>
    <t xml:space="preserve">For Regulatory Liability, enter the estimated year-end balances. This beginning balance recorded in 2004 represents the pre-2003 historical accumulated provision for depreciation on contributed plant as prescribed in the Commission's supplemental decision in docket 05-US-105.  The balance transferred in 2004 should be amortized in equal annual amounts to Account 425, Miscellaneous Amortization over a period of 20 years.  </t>
  </si>
  <si>
    <t>ii.   A guideline for a maximum ROR is to use the current market cost of 30-year municipal bonds plus 2.00 percent.  Typically the range will be 4.90 to 7.00 percent.</t>
  </si>
  <si>
    <t>v.  If you have questions about estimating the ROR, please contact PSC for assistance.</t>
  </si>
  <si>
    <t xml:space="preserve">List the utility’s debt issues. Use only one line for each existing and estimated new debt issue. </t>
  </si>
  <si>
    <t>This attachment requests information about impact fees.  If the utility has impact fees, please complete the schedule and supply the impact fee study and impact fee ordinance  as a separate attachment file on ERF.</t>
  </si>
  <si>
    <t xml:space="preserve">Indicate whether the utility would like to include any charges such as special billing, meter reading, missed appointment, or Non-sufficient funds charges. </t>
  </si>
  <si>
    <t>Indicate the preferred Mg-1 volumetric rate design for each customer class (residential and non-residential)</t>
  </si>
  <si>
    <t>This attachment requests information about the utility's water conservation spending.  The utility only needs to complete this schedule if it has a PSC approved water conservation program</t>
  </si>
  <si>
    <t>Attachment 19 – Notes</t>
  </si>
  <si>
    <t>Attachment 19a - Require Supplemntal Information</t>
  </si>
  <si>
    <t>Attachment 19a - Required Supplemental Information</t>
  </si>
  <si>
    <t>The requested information should be inserted in the white boxes provided.</t>
  </si>
  <si>
    <t>Pension and Benefits Expense should include Pensions, Health Insurance, Life Insurances, and other employee benefits. It should not include employee payroll taxes and employee reimbursement expenses such as phone and transportation. The totals on this schedule should equal the total Pensions and Benefits Expense listed on Attachment 10.</t>
  </si>
  <si>
    <t>Membership Dues should include each organization the Utility belongs to as well as the account number that Membership Dues are recorded in.</t>
  </si>
  <si>
    <t xml:space="preserve">d. </t>
  </si>
  <si>
    <t xml:space="preserve">e. </t>
  </si>
  <si>
    <t xml:space="preserve">List the other normalization expenses. </t>
  </si>
  <si>
    <t xml:space="preserve">f. </t>
  </si>
  <si>
    <t>Second Meters information should be completed.</t>
  </si>
  <si>
    <t xml:space="preserve">g. </t>
  </si>
  <si>
    <t>Payroll Allocation should be completed if employees perform work for more than one function.</t>
  </si>
  <si>
    <t>Attachment 19b - Credit Card Fees</t>
  </si>
  <si>
    <t xml:space="preserve">The requested information should be inserted in the white boxes provided. </t>
  </si>
  <si>
    <t xml:space="preserve">If the Utility answers "yes" to either question #1 or question #2, the Utility must provide answers to the corresponding questions. </t>
  </si>
  <si>
    <t>If a utility has a major project that will not be completed in the current test year but will be completed by December 31st of the following year, filing a Two Step Rate Application may be appropriate. The utility excludes the project in preparing its Step I test year revenue requirement and includes the project in its revenue requirement for a Step II test year.</t>
  </si>
  <si>
    <t>Please note; if your major project requires Commission authorization, the approval should be received from the Commission prior to filing the rate case application.</t>
  </si>
  <si>
    <t>          i. Summarize, by plant account, the Step II plant additions.</t>
  </si>
  <si>
    <t>          ii. Insert the applicable depreciation rates (from Attachment 12).</t>
  </si>
  <si>
    <t>          iii. The depreciation expense will be calculated based upon the estimated plant and depreciation rates.</t>
  </si>
  <si>
    <t>If any of the Step II additions are outside the municipal boundaries, insert the amount in the space provided.</t>
  </si>
  <si>
    <t>If the municipality has authorized an amount as allowed by Wis. Stat. § 66.0811(2), enter that amount.  If no authorization, leave blank.</t>
  </si>
  <si>
    <t>i.</t>
  </si>
  <si>
    <t>j.</t>
  </si>
  <si>
    <t>If necessary, please describe unusual situations in the Step II Notes (Attachment 22).</t>
  </si>
  <si>
    <t>k.</t>
  </si>
  <si>
    <t>            i. If additional revenue results from the Step II additions, include the amount in the Step II Additional column, describe in the Notes (Attachment 22).</t>
  </si>
  <si>
    <t>            ii. If additional operation and maintenance expense will be incurred as a result of the Step II plant additions, include the total in the Step II Additional column.  Provide detail as necessary, by expense account, in the Notes together with the assumptions used in arriving at the expense for each account.</t>
  </si>
  <si>
    <t xml:space="preserve">iii.  A guideline for a maximum ROR is to use the current market cost of 30-year municipal bonds plus 2.00 percent. Typically the range will be 4.90 to 7.00 percent. </t>
  </si>
  <si>
    <t>iv.  If the Utility requests a different ROR than the PSC Benchmark, an explanation must be provided in the Notes (Attachment 22).</t>
  </si>
  <si>
    <t>v. If the PSC determines that the requested ROR is not within this guideline, or requires use of other criteria, the PSC may recommend a different ROR.</t>
  </si>
  <si>
    <t xml:space="preserve">vi. If you have questions about estimating the ROR, please email the PSC for assistance at     </t>
  </si>
  <si>
    <t xml:space="preserve">    PSCRecordsMail@wisconsin.gov</t>
  </si>
  <si>
    <t>The purpose of the Final Edit is to ensure information is reasonably completed for related attachments.  </t>
  </si>
  <si>
    <t>Activating the Run Final Edit button, located on the Main Menu, will create a Final Edit List which can be viewed and printed.</t>
  </si>
  <si>
    <t>The items that need to be corrected will appear in "red" in the edit check listing.</t>
  </si>
  <si>
    <t>All formal rate case applications and subsequent filings in those cases should be filed with the PSC in electronic form according to the instructions and guidelines found on the PSC’s Electronic Regulatory Filing (ERF) system web site at the below link to submit filings to the PSC.</t>
  </si>
  <si>
    <t>General Information about the ERF system :</t>
  </si>
  <si>
    <t>iii.  Corporate accounts have been developed to allow an organization (e.g., utility, law firm, accounting firm, intervener, etc.) to identify users who are authorized to file on their behalf.   This is an optional service offered to corporate entities to allow them greater security in identifying authorized filers, but such entities are not required to use corporate accounts if individual accounts are satisfactory to them.</t>
  </si>
  <si>
    <t>ii.  Individual accounts can be created by clicking on the "Setup Individual Account" hyperlink from the ERF Login Page. Corporate accounts can only be created by the PSC's Record Management Unit (RMU). Entities must complete a Corporate Electronic Filing Account Request in order to establish an account.</t>
  </si>
  <si>
    <t>i.  To submit filings to the PSC a user must create an account by specifying his or her name, email address, logon id and password</t>
  </si>
  <si>
    <t>iv.  The rate case application is in Microsoft Excel and should be filed as an Excel file.  Do not convert Excel files to PDF. Also, do not disable the macros in the Excel file.</t>
  </si>
  <si>
    <t>v.  Adobe Acrobat is needed to convert other than Excel documents to PDF format.</t>
  </si>
  <si>
    <t>i.  Use the below link to submit filings to the PSC.</t>
  </si>
  <si>
    <t xml:space="preserve">      https://apps.psc.wi.gov/ERF/ERF/ERFhome.aspx </t>
  </si>
  <si>
    <t>ii.  Type in a valid user name and password.</t>
  </si>
  <si>
    <t>iii.  To submit a new rate case, select the New / Non-Docket entry under File Document heading.</t>
  </si>
  <si>
    <t>iv.  Select the number of files to upload, and specify the utility these documents relate to.  When the screen repopulates, click the browse button in row 1 and select the file to upload.  Then specify the document type "Application" from the drop down list box and finally enter a meaningful description such as “Rate Increase Application for XYZ Water Utility”.</t>
  </si>
  <si>
    <t>v.  Repeat this for each row on the screen.</t>
  </si>
  <si>
    <t>vii.  Once the docket is submitted it will be marked as pending which means that the document has been received by the PSC, but it has not been processed.  Staff of RMU will review the documents and approve or reject them.  When the filings are processed the submitter will be notified via email.  The email will include the document name, type, description, received date and file status.  If the filing was rejected, the reason for rejection will be included in the email.</t>
  </si>
  <si>
    <t>   vi.  Click the Upload Docket Files button to submit the documents.</t>
  </si>
  <si>
    <t xml:space="preserve">   PSCRecordsMail@wisconsin.gov. </t>
  </si>
  <si>
    <t>viii.  For general questions about the process of electronic filing or instructions on formatting, etc., please contact the Records Management Unit by email at the below link:</t>
  </si>
  <si>
    <t>Questions regarding the completion of this application can be directed by E-mail to the below email:</t>
  </si>
  <si>
    <t>PSCWaterAppMail@wisconsin.gov.</t>
  </si>
  <si>
    <t>Contact Info – Application to Increase Rates Form</t>
  </si>
  <si>
    <t>Contact Info - Application To Increase Rates Form</t>
  </si>
  <si>
    <t>If the Utility had a rate change within the past year, be sure to use prorated rates. See instructions for more detail.</t>
  </si>
  <si>
    <t>Please enter the construction docket below:</t>
  </si>
  <si>
    <t>Ratemaking Goals</t>
  </si>
  <si>
    <t>Reason for Rate increase:</t>
  </si>
  <si>
    <t xml:space="preserve">Goals for rate proceeding: </t>
  </si>
  <si>
    <t>Affordability</t>
  </si>
  <si>
    <t>Conservation</t>
  </si>
  <si>
    <t>Change to PFP</t>
  </si>
  <si>
    <t xml:space="preserve">Other </t>
  </si>
  <si>
    <t xml:space="preserve">Please describe what governing body the utility must recieve approval from in order to request </t>
  </si>
  <si>
    <t xml:space="preserve">Please describe the measures taken to date to inform customers of the rate increase you are </t>
  </si>
  <si>
    <t xml:space="preserve">Public Involvement: </t>
  </si>
  <si>
    <t xml:space="preserve">Affordability: </t>
  </si>
  <si>
    <t>Sample PFP Resolutions:</t>
  </si>
  <si>
    <t>Please provide a description of the Utility's goal of changing its PFP method.  For example, is the Utility trying to reach a particular dollar amount for the Municipal charge?</t>
  </si>
  <si>
    <t>3.  Determination of whether the utility will directly charge PFP on water bills to: water customers only, or water customers and non‐customers per Wis. Stat. 196.03(3)(b)2. If non‐customers are charged, the utility must provide the total number of all non‐customers that, “own land that is located in the city, village or town and in an area in which the municipal utility has an obligation to provide water for public fire protection.”
4.  Copy of signed resolution from municipal government directing water utility to change the method it uses to compute the PFP charge and how much of the PFP costs will be recovered through municipal and/or direct charges.  The resolution can be filed after the application but must be filed prior to scheduling the public hearing.</t>
  </si>
  <si>
    <t xml:space="preserve">this rate proceeding.  Has the utility recieved such approval?  Please provide documentation to </t>
  </si>
  <si>
    <t>supporting the request for a rate increase:</t>
  </si>
  <si>
    <t xml:space="preserve">Please describe any goals the utility would like to see addressed as part of this rate proceeding. </t>
  </si>
  <si>
    <t>Particular Customer Class (provide detail)</t>
  </si>
  <si>
    <t>Change to block rate structure</t>
  </si>
  <si>
    <t>Required approvals:</t>
  </si>
  <si>
    <t>demonstrate the approvals and any specific changes approved (amount of increase, PFP change, specific ROR, etc.)</t>
  </si>
  <si>
    <t xml:space="preserve">applying for.  Please detail how the utility informed them, if the utility provided an estimated rate increase </t>
  </si>
  <si>
    <t>Does the utility anticipate there will be customers with  affordability concerns as a result of the rate increase?</t>
  </si>
  <si>
    <t>If yes, please describe any conversations the utility may have had with customers and/or local decision</t>
  </si>
  <si>
    <t>makers about this issue.</t>
  </si>
  <si>
    <t xml:space="preserve">Please select the reasons for requesting a rate increase from the drop down and provide additional </t>
  </si>
  <si>
    <t>information such as project information, debt service schedules, and other relevant information</t>
  </si>
  <si>
    <t xml:space="preserve">Has the utility considered requesting reductions to its PILOT payment, shifting a portion of PFP to </t>
  </si>
  <si>
    <t xml:space="preserve">  the Commission for this rate increase application to be processed.  Please list the construction docket number(s):</t>
  </si>
  <si>
    <t>Notes</t>
  </si>
  <si>
    <t xml:space="preserve"> Notes</t>
  </si>
  <si>
    <t>Footnotes</t>
  </si>
  <si>
    <t>If the Utility chooses Property Values Method or Square Feet of Improvements method, please visit the following Application for required information.  Please note, the title of the Application is for changing the method of recovery for PFP outside of a full conventional rate case (CRC) but the data and information needed is still relevant for a switch in PFP through a CRC/WR Docket.           If you have any questions, please email PSCWaterAppMail@wisconsin.gov.</t>
  </si>
  <si>
    <t>Refer to Attach 19 for data entry tips</t>
  </si>
  <si>
    <t xml:space="preserve">3. List the meter size, billing date, and the billed consumption. </t>
  </si>
  <si>
    <t xml:space="preserve">* For privacy reasons, do not list any customer names. </t>
  </si>
  <si>
    <t>1. Provide the authorized rates for volume consistent with Schedule Mg-1.</t>
  </si>
  <si>
    <t>2. Complete Attachment 2A using actual data from the latest 12 months for each customer class.</t>
  </si>
  <si>
    <t>3. Provide the actual total volume for the most recent 12 months for each class.</t>
  </si>
  <si>
    <t>3. Provide actual total billed revenues for the same 12 months. If variance between total revenues and actual billed revenue is greater than 3 percent for any customer class, the variance must be explained with a reason and any corrective plan to address the variance in the Notes.</t>
  </si>
  <si>
    <t xml:space="preserve">2. Complete Attachment 2B using actual data from the latest 12 months for each customer class. </t>
  </si>
  <si>
    <t>Final Edit Check List</t>
  </si>
  <si>
    <t>_Sales Hist</t>
  </si>
  <si>
    <t>461.1</t>
  </si>
  <si>
    <t>461.2</t>
  </si>
  <si>
    <t>Commerical</t>
  </si>
  <si>
    <t>461.3</t>
  </si>
  <si>
    <t>461.4</t>
  </si>
  <si>
    <t>461.5</t>
  </si>
  <si>
    <t>461.6</t>
  </si>
  <si>
    <t>_Wholesale Revenues</t>
  </si>
  <si>
    <t>State Tax Rate</t>
  </si>
  <si>
    <t>County Tax Rate</t>
  </si>
  <si>
    <t>Local Tax Rate</t>
  </si>
  <si>
    <t>School Tax Rate</t>
  </si>
  <si>
    <t>Voc School Tax Rate</t>
  </si>
  <si>
    <t>Oth Tax Rate - Local</t>
  </si>
  <si>
    <t>Oth Tax Rate - Non Local</t>
  </si>
  <si>
    <t>State Credit</t>
  </si>
  <si>
    <t>Ensure that the Edit Checks have been run.</t>
  </si>
  <si>
    <t>1. Provide the meter charges for the estimated test year.</t>
  </si>
  <si>
    <t>2. Use the Utility's most current rates.</t>
  </si>
  <si>
    <t>3. Provide complete details in Notes section concerning the gain or loss of any large customer, 20 percent change in usage from a customer class,</t>
  </si>
  <si>
    <t xml:space="preserve">    or customers being reclassified to a different customer class.</t>
  </si>
  <si>
    <t>4. If necessary, please describe any unusual situations in the Notes section.</t>
  </si>
  <si>
    <r>
      <t xml:space="preserve">    </t>
    </r>
    <r>
      <rPr>
        <b/>
        <sz val="10"/>
        <rFont val="Arial"/>
        <family val="2"/>
      </rPr>
      <t>or customers being reclassified to a different customer class</t>
    </r>
  </si>
  <si>
    <t>3. Provide complete details in Notes section concerning the gain or loss of any large customer, 10 percent change in customer count for a customer class,</t>
  </si>
  <si>
    <t>2. List test year consumption estimates for each wholesale customer.</t>
  </si>
  <si>
    <t>3. Provide explanation in Notes section concerning any large changes in usage and/or gain or loss of a large wholesale customer.</t>
  </si>
  <si>
    <t xml:space="preserve">    Protection and must be consistent with the Utility's current F-1 or Fd-1 tariff.</t>
  </si>
  <si>
    <t>2. For a Municipal Charge based upon mains and/or hydrants or Direct Charges to Customers based</t>
  </si>
  <si>
    <t xml:space="preserve">    upon equivalent meters or services, test year estimate is derived from Attachment 5.</t>
  </si>
  <si>
    <t xml:space="preserve">3. For all other charges, insert the test year estimate in the amount column. </t>
  </si>
  <si>
    <t>4. For Direct Charges to Customers based upon a method other than equivalent meters or services,</t>
  </si>
  <si>
    <t xml:space="preserve">    detail must be submitted to the PSC supporting this metod.</t>
  </si>
  <si>
    <t>1. List rates and billing frequency consistent with Schedule W-1 in your tariff sheet.</t>
  </si>
  <si>
    <t xml:space="preserve">       ii. Net additions for mains and hydrants units are derived from Attachment 17, Part One.</t>
  </si>
  <si>
    <t xml:space="preserve">1. For a Municipal Charge based upon mains and/or hydrants, complete the Municipal Charge section. </t>
  </si>
  <si>
    <t xml:space="preserve">       i. The Authorized Rates are obtained from the current tariff sheet, typically Schedule F-1 or Fd-1</t>
  </si>
  <si>
    <t xml:space="preserve">               1. To compute the test year Private Fire Protection Revenue, complete the applicable sections.</t>
  </si>
  <si>
    <t xml:space="preserve">               2. The Authorized Rates are obtained from the current tariff sheet, typically Schedule Upf-1.</t>
  </si>
  <si>
    <t xml:space="preserve">               3. Enter the test year Average Number of Connections based on size of the connection.</t>
  </si>
  <si>
    <t>1. Test year revenue estimated amounts are derived for the following: 
          Metered Sales to General Customers; Private Fire Protection; and Public Fire Protection.</t>
  </si>
  <si>
    <t>2. "Interim year" and other test year estimates should be based upon historical trends and other relevant information.</t>
  </si>
  <si>
    <t xml:space="preserve">       i. If the meter allocation is other than 50 percent, insert the appropriate percentage in the cell formula.</t>
  </si>
  <si>
    <t>3. If necessary, please describe unusual situations in the Notes.</t>
  </si>
  <si>
    <t xml:space="preserve">      then place that amount on this line.  If no authorization, leave blank.  Fully explain the circumstances in Notes.</t>
  </si>
  <si>
    <t xml:space="preserve"> 7. Describe unusual situations in the Notes.</t>
  </si>
  <si>
    <t xml:space="preserve"> 6. If the local government adopted a resolution to set the PILOT lower, the Utility must provide a copy of the resolution along with Notes.</t>
  </si>
  <si>
    <t>1. A historical three-year average is provided. If expenses fluctuate from year to year, the average can be helpful determining the interim and test year estimates.</t>
  </si>
  <si>
    <t>2. If either the interim or test year estimate varies from the three-year average by more than plus or minus 15 percent, the cause(s) must be explained in the Notes.</t>
  </si>
  <si>
    <t>3. The Utility must describe unusual situations in the Notes.</t>
  </si>
  <si>
    <t xml:space="preserve">     i. If any rate other than the benchmark will be used for the test year, the rate should be entered. If an account is fully depreciated, a depreciation rate of 0% must be inserted.</t>
  </si>
  <si>
    <t>3. Enter the appropriate adjustment information at the bottom of the schedule to reconcile the depreciation accrual to the estimated depreciation expense.</t>
  </si>
  <si>
    <t xml:space="preserve">4. In the Notes, the Utility must describe unusual situations such as Miscellaneous Credits or adjustments </t>
  </si>
  <si>
    <t>2. Part Two is a calculation of Average Net Investment Rate Base for the test year. All amounts are derived from other attachments</t>
  </si>
  <si>
    <t>3. Part Three calculates the estimated requested increase.</t>
  </si>
  <si>
    <t xml:space="preserve">       i. Enter a requested rate of return (ROR) in the highlighted box and the estimated increase is calculated.</t>
  </si>
  <si>
    <t>1. Identify the sources of financing plant additions for interim and test years. Use descriptions provided or specify other types of financing.</t>
  </si>
  <si>
    <t xml:space="preserve">       i. Include the corresponding annual interest, either accrued or payable, for each issue.</t>
  </si>
  <si>
    <t>Refer to Attachment 14 for data entry help</t>
  </si>
  <si>
    <t>1. This attachment is to be used to describe any assumptions used by the utility in forecasting or describing any Step II items in Attachments 20 and 21.</t>
  </si>
  <si>
    <t>2. Describe, in particular, Step II additional revenue or operation and maintenance expense forecasted in Attachment 21.</t>
  </si>
  <si>
    <t xml:space="preserve">3. If necessary, include other general discussion that may be helpful regarding Step II items. </t>
  </si>
  <si>
    <t>1. If a utility has a major project that will not be completed in the current test year but will be completed by December 31st of the following year, filing a Two Step Rate Application may be appropriate. The utility excludes the project in preparing its Step I test year revenue requirement and includes the project in its revenue requirement for a Step II test year.</t>
  </si>
  <si>
    <t>2. If a part or all of a major project will start during the test year and be placed into service by December 31st in the year following the test year, that portion of the project must be considered in Step II.</t>
  </si>
  <si>
    <t>3. Summary of Step II major plant additions:</t>
  </si>
  <si>
    <t>i. Summarize, by plant account, the Step II plant additions.</t>
  </si>
  <si>
    <t>ii. Insert the applicable depreciation rates (from Attachment 12).</t>
  </si>
  <si>
    <t>iii. The depreciation expense will be calculated based upon the estimated plant and depreciation rates.</t>
  </si>
  <si>
    <t>4. If necessary, please describe unusual situations in the Step II Notes.</t>
  </si>
  <si>
    <r>
      <rPr>
        <b/>
        <sz val="10"/>
        <rFont val="Arial"/>
        <family val="2"/>
      </rPr>
      <t xml:space="preserve">b. </t>
    </r>
    <r>
      <rPr>
        <sz val="10"/>
        <rFont val="Arial"/>
        <family val="2"/>
      </rPr>
      <t>Expense details should be provided for the test year and three prior years for Account 686 (Class D)</t>
    </r>
  </si>
  <si>
    <r>
      <rPr>
        <b/>
        <sz val="10"/>
        <rFont val="Arial"/>
        <family val="2"/>
      </rPr>
      <t>a.</t>
    </r>
    <r>
      <rPr>
        <sz val="10"/>
        <rFont val="Arial"/>
        <family val="2"/>
      </rPr>
      <t xml:space="preserve"> Membership Dues should include each organization the Utility belongs to as well as the account number that Membership Dues are recorded in.</t>
    </r>
  </si>
  <si>
    <r>
      <rPr>
        <b/>
        <sz val="10"/>
        <rFont val="Arial"/>
        <family val="2"/>
      </rPr>
      <t xml:space="preserve">b. </t>
    </r>
    <r>
      <rPr>
        <sz val="10"/>
        <rFont val="Arial"/>
        <family val="2"/>
      </rPr>
      <t>For each organization the utility belongs to, identify the amount of the dues for the years noted below and indicate what expense account is charged.</t>
    </r>
  </si>
  <si>
    <r>
      <rPr>
        <b/>
        <sz val="10"/>
        <rFont val="Arial"/>
        <family val="2"/>
      </rPr>
      <t xml:space="preserve">a. </t>
    </r>
    <r>
      <rPr>
        <sz val="10"/>
        <rFont val="Arial"/>
        <family val="2"/>
      </rPr>
      <t>Water Tower Painting should include each water tower painting. Please provide an explanation on the Current Cost in the Notes.</t>
    </r>
  </si>
  <si>
    <r>
      <rPr>
        <b/>
        <sz val="10"/>
        <rFont val="Arial"/>
        <family val="2"/>
      </rPr>
      <t xml:space="preserve">b. </t>
    </r>
    <r>
      <rPr>
        <sz val="10"/>
        <rFont val="Arial"/>
        <family val="2"/>
      </rPr>
      <t>The normalized cost of water tower painting should be included in the forecast for Account 650 (Class C&amp;D utilities) or Account 672 (Class AB utilities).  Also, see Instructions - Attachment 10.</t>
    </r>
  </si>
  <si>
    <t>a. Does the utility have any customers with second meters to measure water not discharged to the sanitary sewer system?</t>
  </si>
  <si>
    <t>b. Does the utility have rate schedule Am-1, Additional Meter Rental Charge?</t>
  </si>
  <si>
    <t>Main Menu</t>
  </si>
  <si>
    <t>Additional Notes</t>
  </si>
  <si>
    <t>Below is a list of the Attachments that make up the PSC Water Rate Case Application.   
Each attachment is a separate tab in the Excel worksheet.
 Click on an Attachment to go directly to the tab in the worksheet.</t>
  </si>
  <si>
    <t>Applications instructions were sent as a .pdf file with the blank application.  
Below is a copy of the instructions for your convenience.  
Click on the links below to go directly to the instruction narrative.</t>
  </si>
  <si>
    <t>Application Instructions</t>
  </si>
  <si>
    <t>1. A historical three-year average is provided. If expenses fluctuate from year to year, the average can be helpful when determining the interim and test year estimates.</t>
  </si>
  <si>
    <t xml:space="preserve">3. The Utility must describe unusual situations in the Notes. </t>
  </si>
  <si>
    <t>Building Name:</t>
  </si>
  <si>
    <t>Room Number or Name:</t>
  </si>
  <si>
    <t>Address:</t>
  </si>
  <si>
    <t>Phone Number:</t>
  </si>
  <si>
    <t>2. What is your current billing frequency for residential customers?</t>
  </si>
  <si>
    <t xml:space="preserve">2a. Would you prefer to change the current billing frequency? </t>
  </si>
  <si>
    <t>Please answer each question about billing procedures.</t>
  </si>
  <si>
    <t>Village of Friendship Water Utility</t>
  </si>
  <si>
    <t>1. Provide the authorized meter charges consistent with Schedule Mg-1.</t>
  </si>
  <si>
    <t xml:space="preserve">4. Include Am-1 revenue(s) from additional rates on Attachment 7 - Account 474 (Other Water Revenues), not on Attachment 2B. </t>
  </si>
  <si>
    <t>Percent Variance</t>
  </si>
  <si>
    <t>1. This schedule is a summary of various methods of charging for Public Fire</t>
  </si>
  <si>
    <t xml:space="preserve">       i. Base units and charges are obtained from the current tariff sheet, typically Schedule F-1.</t>
  </si>
  <si>
    <t>3. Test year revenue from additional rates or Am-1 meters should be included in Account 474 (Other Water Revenues) on this attachment, not Attachment 2B.</t>
  </si>
  <si>
    <t>4. Any unusual situations that cause a variance in an account must be explained in the Notes.</t>
  </si>
  <si>
    <t>2. The test year and interim year meter allocations to the sewer department are based upon 50 percent of the beginning of year meter balance (Attachment 11, Account 346), the assessment ratio (Attachment 9) and the current year net local and school mill rate (Attachment 9).</t>
  </si>
  <si>
    <t>1. The test year and interim year amounts are derived for the Property Tax Equivalent Payable for the Year, and the Local and School Tax Equivalent on Meters Charged to the Sewer Department (sewer meter allocation).</t>
  </si>
  <si>
    <t xml:space="preserve">1. If any Plant Additions require Construction Approval by the PSC, a request for approval must be submitted to </t>
  </si>
  <si>
    <t>2. Do not include Plant financed by Contributions.  Contributed Plant is shown in Attachment 11a.</t>
  </si>
  <si>
    <t>4. Explain adjustments in Notes section.</t>
  </si>
  <si>
    <t xml:space="preserve">      ii. All debt issues for all utility departments and non-utility sewer departments reported in the PSC annual report must be included, unless a separate balance sheet and income statement are provided.</t>
  </si>
  <si>
    <t xml:space="preserve">   DEBT SUMMARY</t>
  </si>
  <si>
    <t xml:space="preserve">2. If necessary, please describe unusual situations in the Notes. </t>
  </si>
  <si>
    <t>1. List Utility's debt issues. Use only one line for each existing and estimated new debt issue.</t>
  </si>
  <si>
    <t>A. This attachment requests information about impact fees. If the utility has impact fees, please complete the schedule and supply the impact fee study and impact fee ordinance as a separate file on ERF.</t>
  </si>
  <si>
    <t>1. This attachment requests information about the utilty's water conservation spending. The utility only needs to complete this schedule if it has a PSC approved water conservation program.</t>
  </si>
  <si>
    <t>2. If the utility has a conservation program that was authorized by the PSC, please complete</t>
  </si>
  <si>
    <r>
      <t xml:space="preserve">a. </t>
    </r>
    <r>
      <rPr>
        <sz val="10"/>
        <rFont val="Arial"/>
        <family val="2"/>
      </rPr>
      <t>Pension and Benefits Expense should include Pensions, Health Insurance, Life Insurance, and other employee benefits. It should not include employee payroll taxes and employee reimbursement expenses such as phone and transportation. The totals on this schedule should equal the total Pensions and Benefits Expense listed on Attachment 10.</t>
    </r>
  </si>
  <si>
    <t>1. Part One calculates the Net Operating Income (loss) for the test year. All amounts are derived from other attachments except Amortization Expense, Account 404, which , if applicable, must be entered and the purpose specified.</t>
  </si>
  <si>
    <r>
      <t xml:space="preserve">
Application to Increase Rates
Public Service Commission of Wisconsin 
</t>
    </r>
    <r>
      <rPr>
        <sz val="10"/>
        <rFont val="Arial"/>
        <family val="2"/>
      </rPr>
      <t>Division of Water Utility Regulation and Analysis
Hill Farms State Office Building - 6th Floor
4822 Madison Yards Way  
Madison, WI  53705</t>
    </r>
  </si>
  <si>
    <t>and any other information the utility has provided to the customer regarding the need for a rate increase.</t>
  </si>
  <si>
    <t xml:space="preserve">municipal charge, or altering its rate structure to try to address affordability. </t>
  </si>
  <si>
    <t>2b. If so, which billing frequency would be preferred?</t>
  </si>
  <si>
    <t>2. For Direct Charges to Customers based upon equivalent meters or equivalent services, 
     complete Direct Charge to Customers section.</t>
  </si>
  <si>
    <t xml:space="preserve">      ii. Generally, the current benchmark rate is used for most situations. If the Utility requests a different ROR, please describe the reasons in the Notes. An example of supporting detail would be a Cash Flows statement.</t>
  </si>
  <si>
    <t xml:space="preserve">A Two Step rate increase requires construction approval. </t>
  </si>
  <si>
    <t>Provide the actual total billed revenues for the same 12 months.  If the variance between the total revenues and actual billed revenue is greater than 3 percent for any customer class, the variance must be explained with the reason and any corrective plan to address the variance in the Notes.</t>
  </si>
  <si>
    <t xml:space="preserve">Details concerning any large changes from year to year in usage and average customer count should be explained in the Notes. 20 percent change in customer count or usage from a customer class, loss or addition of a large customer, and customers being reclassified must be explained in the notes.  </t>
  </si>
  <si>
    <t xml:space="preserve">If necessary, please describe unusual situations in the Notes. </t>
  </si>
  <si>
    <t>Complete details concerning the gain or loss of any large customer, 20 percent change in usage from a customer class, or customers being reclassified to a different customer class must be explained in the Notes.</t>
  </si>
  <si>
    <t>Complete details concerning the gain or loss or any large customer, 10 percent change in customer count for a customer class, or customers being reclassified to a different customer class should be explained in the Notes.</t>
  </si>
  <si>
    <t>should be explained in the Notes.</t>
  </si>
  <si>
    <t>If necessary, please describe unusual situations in the Notes.  An example would be the schedule is not consistent with the Utility’s current F-1 tariff and must include reasons why the schedule is not consistent with the tariff.</t>
  </si>
  <si>
    <t>If necessary, please describe unusual situations such as not consistent with the Utility’s current F-1 tariff in the Notes.</t>
  </si>
  <si>
    <t>Any unusual situations such as not consistent with the Utility’s current Upf-1 tariff must be explained in the Notes.</t>
  </si>
  <si>
    <t>Any unusual situations that causes a variance in an account must be explained in the Notes.</t>
  </si>
  <si>
    <t xml:space="preserve">If the municipality has authorized an amount as allowed by Wis. Stat. §66.0811(2), it must explain fully the circumstances in the Notes. </t>
  </si>
  <si>
    <t>If necessary, please describe unusual situations in the Notes.</t>
  </si>
  <si>
    <t>If the local government adopted a resolution to set the PILOT lower, the Utility must provide a copy of the resolution.</t>
  </si>
  <si>
    <t xml:space="preserve">If either the interim or test year estimate varies from the three-year average by more than plus or minus 15 percent, the cause(s) must be explained in the Notes.  </t>
  </si>
  <si>
    <t>Large expenses that infrequently occur or benefit other years, such as for well rehab or pump repairs, should be normalized as part of the test year estimated expense and must be explained in the Notes.</t>
  </si>
  <si>
    <t xml:space="preserve">The Utility must describe unusual situations in the Notes. </t>
  </si>
  <si>
    <t xml:space="preserve">The Utility must describe unusual situations and huge plant additions in the Notes. </t>
  </si>
  <si>
    <t xml:space="preserve">The Utility must describe unusual situations and huge plant additions in the Notes. Qualifying additions would be over $50,000 for Class AB Utilities, $25,000 for Class C Utilities and over $10,000 for Class D Utilities. </t>
  </si>
  <si>
    <t>An allocation of 50 percent of meter depreciation to the sewer department is calculated automatically.  If the allocation for your utility is different, insert the applicable percent in the space provided and provide the reason in the Notes.</t>
  </si>
  <si>
    <t xml:space="preserve">The Utility must describe unusual situations such as Miscellaneous Credits or adjustments in the Notes. </t>
  </si>
  <si>
    <t xml:space="preserve">For Accumulated Depreciation, the retirements and the annual accruals are derived from Attachments 11 and 12, respectively.  For estimated salvage and cost of removal for the interim and the test years, enter the estimated transactions.  Please provide explanations for adjustments, salvage, and Cost of Removal in the Notes.  </t>
  </si>
  <si>
    <t>For Materials and Supplies, enter the estimated year-end balances.  An increase or decrease in the interim or test year of more than 15 percent must be explained in the Notes.</t>
  </si>
  <si>
    <t>Water Tower Painting should include each water tower painting. Please provide an explanation on the Current Cost in the Notes.</t>
  </si>
  <si>
    <t>Select one option below:</t>
  </si>
  <si>
    <r>
      <t xml:space="preserve">Select the rate </t>
    </r>
    <r>
      <rPr>
        <b/>
        <sz val="10"/>
        <color indexed="8"/>
        <rFont val="Arial"/>
        <family val="2"/>
      </rPr>
      <t>option</t>
    </r>
    <r>
      <rPr>
        <sz val="10"/>
        <color indexed="8"/>
        <rFont val="Arial"/>
        <family val="2"/>
      </rPr>
      <t xml:space="preserve"> for billing excess usage due to leak:</t>
    </r>
  </si>
  <si>
    <r>
      <rPr>
        <b/>
        <sz val="10"/>
        <color indexed="8"/>
        <rFont val="Arial"/>
        <family val="2"/>
      </rPr>
      <t xml:space="preserve">Option 1) </t>
    </r>
    <r>
      <rPr>
        <sz val="10"/>
        <color indexed="8"/>
        <rFont val="Arial"/>
        <family val="2"/>
      </rPr>
      <t xml:space="preserve"> The Utility does not use a fixed budget year.</t>
    </r>
  </si>
  <si>
    <r>
      <rPr>
        <b/>
        <sz val="10"/>
        <color indexed="8"/>
        <rFont val="Arial"/>
        <family val="2"/>
      </rPr>
      <t>Option 2)</t>
    </r>
    <r>
      <rPr>
        <sz val="10"/>
        <color indexed="8"/>
        <rFont val="Arial"/>
        <family val="2"/>
      </rPr>
      <t xml:space="preserve">  The Utility uses a fixed budget year.</t>
    </r>
  </si>
  <si>
    <t>D</t>
  </si>
  <si>
    <t>Util Name</t>
  </si>
  <si>
    <t>Cleveland Water Utility</t>
  </si>
  <si>
    <t>Util ID</t>
  </si>
  <si>
    <t>2022 data is:</t>
  </si>
  <si>
    <t>_Revenue</t>
  </si>
  <si>
    <t>460.1</t>
  </si>
  <si>
    <t>460.2</t>
  </si>
  <si>
    <t>460.3</t>
  </si>
  <si>
    <t>460.4</t>
  </si>
  <si>
    <t>462</t>
  </si>
  <si>
    <t>463</t>
  </si>
  <si>
    <t>465</t>
  </si>
  <si>
    <t>466</t>
  </si>
  <si>
    <t>467</t>
  </si>
  <si>
    <t>470</t>
  </si>
  <si>
    <t>472</t>
  </si>
  <si>
    <t>473</t>
  </si>
  <si>
    <t>474</t>
  </si>
  <si>
    <t>460.5</t>
  </si>
  <si>
    <t>460.6</t>
  </si>
  <si>
    <t>Less: Local and School Tax Equivalent on Meters Charged to Sewer Department</t>
  </si>
  <si>
    <t>PSC Remainder Assessment</t>
  </si>
  <si>
    <t>Social Security</t>
  </si>
  <si>
    <t>Plant Outside Limit</t>
  </si>
  <si>
    <t>Assessment Ratio</t>
  </si>
  <si>
    <t>Util Plant Amt</t>
  </si>
  <si>
    <t>Material Supply Amt</t>
  </si>
  <si>
    <t>prior yr tx equiv amt</t>
  </si>
  <si>
    <t>muni auth lower tx equiv amt</t>
  </si>
  <si>
    <t>curr yr tx equiv amt</t>
  </si>
  <si>
    <t>CWIP</t>
  </si>
  <si>
    <t>_Oper Exp</t>
  </si>
  <si>
    <t>600</t>
  </si>
  <si>
    <t>610</t>
  </si>
  <si>
    <t>620</t>
  </si>
  <si>
    <t>630</t>
  </si>
  <si>
    <t>640</t>
  </si>
  <si>
    <t>650</t>
  </si>
  <si>
    <t>660</t>
  </si>
  <si>
    <t>680</t>
  </si>
  <si>
    <t>681</t>
  </si>
  <si>
    <t>682</t>
  </si>
  <si>
    <t>684</t>
  </si>
  <si>
    <t>686</t>
  </si>
  <si>
    <t>688</t>
  </si>
  <si>
    <t>689</t>
  </si>
  <si>
    <t>690</t>
  </si>
  <si>
    <t>691</t>
  </si>
  <si>
    <t>_Plant</t>
  </si>
  <si>
    <t>301</t>
  </si>
  <si>
    <t>302</t>
  </si>
  <si>
    <t>303</t>
  </si>
  <si>
    <t>310</t>
  </si>
  <si>
    <t>311</t>
  </si>
  <si>
    <t>312</t>
  </si>
  <si>
    <t>313</t>
  </si>
  <si>
    <t>314</t>
  </si>
  <si>
    <t>316</t>
  </si>
  <si>
    <t>317</t>
  </si>
  <si>
    <t>320</t>
  </si>
  <si>
    <t>321</t>
  </si>
  <si>
    <t>323</t>
  </si>
  <si>
    <t>325</t>
  </si>
  <si>
    <t>326</t>
  </si>
  <si>
    <t>328</t>
  </si>
  <si>
    <t>330</t>
  </si>
  <si>
    <t>331</t>
  </si>
  <si>
    <t>332</t>
  </si>
  <si>
    <t>333</t>
  </si>
  <si>
    <t>334</t>
  </si>
  <si>
    <t>340</t>
  </si>
  <si>
    <t>341</t>
  </si>
  <si>
    <t>342</t>
  </si>
  <si>
    <t>343</t>
  </si>
  <si>
    <t>345</t>
  </si>
  <si>
    <t>346</t>
  </si>
  <si>
    <t>348</t>
  </si>
  <si>
    <t>349</t>
  </si>
  <si>
    <t>389</t>
  </si>
  <si>
    <t>390</t>
  </si>
  <si>
    <t>391</t>
  </si>
  <si>
    <t>391.1</t>
  </si>
  <si>
    <t>392</t>
  </si>
  <si>
    <t>393</t>
  </si>
  <si>
    <t>394</t>
  </si>
  <si>
    <t>395</t>
  </si>
  <si>
    <t>396</t>
  </si>
  <si>
    <t>397</t>
  </si>
  <si>
    <t>397.1</t>
  </si>
  <si>
    <t>398</t>
  </si>
  <si>
    <t>_ContribPlnt</t>
  </si>
  <si>
    <t>Attach13</t>
  </si>
  <si>
    <t>Class D Water Utilities</t>
  </si>
  <si>
    <t>1000 Gallons (Mgal)</t>
  </si>
  <si>
    <t>Corson, Peterson &amp; Hamann S.C.</t>
  </si>
  <si>
    <t>Greg Peterson, CPA</t>
  </si>
  <si>
    <t>Stacy Grunwald, Clerk-Treasurer</t>
  </si>
  <si>
    <t>P.O Box 87</t>
  </si>
  <si>
    <t>2203 S Memorial Place</t>
  </si>
  <si>
    <t>Cleveland, WI 53015-0087</t>
  </si>
  <si>
    <t>Sheboygan, WI 53081</t>
  </si>
  <si>
    <t>Manitowoc</t>
  </si>
  <si>
    <t>920-693-8181</t>
  </si>
  <si>
    <t>920-457-3641 Ext 224</t>
  </si>
  <si>
    <t>sgrunwald@clevelandwi.gov</t>
  </si>
  <si>
    <t>greg@corsonpeterson.com</t>
  </si>
  <si>
    <t>920-693-3695</t>
  </si>
  <si>
    <t>920-457-8148</t>
  </si>
  <si>
    <t>Monday-Friday</t>
  </si>
  <si>
    <t>Cleveland Village Hall</t>
  </si>
  <si>
    <t>Clerk's Office</t>
  </si>
  <si>
    <t>1150 West Washington Ave, Cleveland, WI</t>
  </si>
  <si>
    <t>Envelopes</t>
  </si>
  <si>
    <t>Monthly</t>
  </si>
  <si>
    <t>Meters are read continuously on consecutive days until complete.</t>
  </si>
  <si>
    <t>None</t>
  </si>
  <si>
    <t>1% per month charge</t>
  </si>
  <si>
    <t>No - water rates only</t>
  </si>
  <si>
    <t>Direct Charge on Water Bill</t>
  </si>
  <si>
    <t>Equivalent Meter</t>
  </si>
  <si>
    <t>Declining Block Rate</t>
  </si>
  <si>
    <t>Training</t>
  </si>
  <si>
    <t>Certification</t>
  </si>
  <si>
    <t>Water Sphere 9-6240</t>
  </si>
  <si>
    <t>Customers pay the transaction fee</t>
  </si>
  <si>
    <t>In the published budget, a rate increase was mentioned to let the public know the utility would be looking to increase rates.</t>
  </si>
  <si>
    <t>We have a Schedule Am-1 in our rate file.</t>
  </si>
  <si>
    <t>Membership Dues - The Utility is not a member of AWWA, but Stacy Grunwald, Director of Public Works, has an individual membership which is posted to Acct 681 for $259.
Water tower painting in 2020 had addtitional costs that would not be needed the next time.</t>
  </si>
  <si>
    <t>Payment Service Network (PSN)</t>
  </si>
  <si>
    <t>2022 tax rates are actual. 2023 tax rates are estimated at a 3% increase over 2022.</t>
  </si>
  <si>
    <t>Advance from Village</t>
  </si>
  <si>
    <t>G.O. Bonds - Series 2022</t>
  </si>
  <si>
    <t>G.O. Bonds - Series 2020</t>
  </si>
  <si>
    <t>Advance from Sewer - 2020</t>
  </si>
  <si>
    <t>Advance from Sewer - 2022</t>
  </si>
  <si>
    <t>Advance from Sewer - 2023</t>
  </si>
  <si>
    <t>As noted above, we would like to see the Schedule OC-1 updated to reflect the following fees: $25 missed appointment fee, $40 missed appointment fee after hours, and $25 real estate closing account fee for written documentation request.</t>
  </si>
  <si>
    <t>Unmetered sales from 2019 was back billing from 2018 industrial consumption that was incorrectly billed in 2018.  There is not expected to be any unmetered sales in the 2023 test year.
The lease agreement for the rental of our water tower has ended and is not expected to be renewed.</t>
  </si>
  <si>
    <t>Mondays and Thursdays</t>
  </si>
  <si>
    <t>10 am to 2 pm</t>
  </si>
  <si>
    <t>8 am to 12 pm, 1 pm to 5 pm</t>
  </si>
  <si>
    <t>1"</t>
  </si>
  <si>
    <t>2"</t>
  </si>
  <si>
    <t>Board of Commissioners - 2023</t>
  </si>
  <si>
    <t>Mains #343 - Part of the 2023 main replacement project will be paid by using ARPA funds in the amount of $274,401.</t>
  </si>
  <si>
    <t>Mains #343 - We are replacing 7,300 feet of water main along North Ave (CTH XX), Westview St, Linden St, Maple St, and West Washington St as part of the Utility's water main replacement projects.  Removals are using benchmark retirement costs.
Services #345 - We are replacing 43 services along North Ave (CTH XX), Linden St, Maple St, and West Washington St as part of the water main replacement projects.  Removals are using benchmark retirement costs.
Meters #346 - In the year 2022, (329) 3/4# meter bases were purchased to replace existing meters.  (451) Endpoints and Twist Tight connectors were purchased and are currently in the process of being installed.  In 2022, 149 meters were installed with the balance to be installed in 2023, 148 Endpoints were installed and the remaining 303 will be installed in 2023 and 2024.  Removals are using benchmark retirement costs.
Hydrants #348 We are replacing 16 hydrants along North Ave (CTH XX), Linden St, Mapple St, and West Washington St as part of the water main replacement projects.  Removals are using benchmark retirement costs.</t>
  </si>
  <si>
    <t>3080' 8" and 440' 10" replaced</t>
  </si>
  <si>
    <t>905' 10" and 6395' 8" replaced</t>
  </si>
  <si>
    <t>The Village Board approved the submission of the water rate increase to the PSC at its meeting of January 17, 2023.  At its meeting of July 18, 2023, staff was directed to update the application to reflect pending borrowing for replacement water main authorized at that meeting and utilize a 7.2% rate of return.</t>
  </si>
  <si>
    <t>The Village anticipates there will be affordability concerns by some customers.  However, the water utility needed to invest in new water meter endpoints, SCADA integration, and replacement water main.  The Village's third party vendor that provided backup and on-call coverage could no longer assist, so the decision was made to add a full-time employee.  The intention to consider a reduction in sanitary sewer rates on the combined bill was dropped due to inflationary pressures raising costs for supplies and labor.</t>
  </si>
  <si>
    <t>The Village is a low-growth community, meaning tax increases are limited under levy limits.  In 2022, net new construction in the Village was 0.26%, resulting in a $1,317.00 increase in available tax revenue for the year.  The Village would not be able to absorb a reduction in PILOT from the water utility or pay for a municipal PFP charge.</t>
  </si>
  <si>
    <t>Debt Service Coverage - $665,000 of GO Bonds were issued to finance water main replacement projects in 2022 and 2023.  An additional $300,000 in new borrowing is pending to complete the projects.  The sewer utlility also advanced funds for the 2022 and 2023 projects and for the SCADA project and purchase of water meter endpoints in prior years. 
Increased O&amp;M Costs - Water tower painting costs from 2020.</t>
  </si>
  <si>
    <t>G.O.Bonds issued on September 29, 2022 in the amount of $665,000 are being used entirely to finance the 2023 capital projects. 
Advance from Sewer 2022 loan was used to finance the meter replacements happening in 2022 and 2023.
Advance from Sewer 2023 loan was used to finance the water main replacement projects.
Board of Commissioners 2023 loan was used to finance the water main replacement projects.</t>
  </si>
  <si>
    <t>The Deputy Director of Public Works and Operator wages and benefits are allocated based on time spent in each department.  Management and office staff are allocated based on estimated time spent in each department.</t>
  </si>
  <si>
    <t>Attachment 7 - Unmetered sales from 2019 was back billing from 2018 industrial consumption that was incorrectly billed in 2018. There is not expected to be any unmetered sales in the 2023 test year.
Attachment 7 - The lease agreement for the rental of our water tower has ended and is not expected to be renewed.
Attachment 9 - 2022 property tax rates are actual.  2023 tax rates are estimated at a 3% increase over 2022.
Attachment 10 - Acct #650 Repairs 2020 Water tower painting costs are being amortized at a rate of $46,576 per year since 2020 per PSC approval dated 6/2/21.  The year 2022 also included an additional $31,340 of water tower painting costs to repair errors made during the 2020 project.  Our 2023 test year includes estimated current expenses of $50,000 plus $10,000 for normalized cost of water tower painting per Attachment 19a.
Attachment 10 - Acct #686 Employee Pensions and Benefits - The Village is increasing the number of operators from 2 to 3.
Attachment 10 - Acct #688 Regulatory Commission Expenses - We have included normalization costs of 0.8% for PSC fees plus estimated consulting fees related to this water rate increase.</t>
  </si>
  <si>
    <t>Acct #650 Repairs - 2020 Water tower painting costs are being amortized at a rate of $46,576 per year since 2020 per PSC approval dated 6/2/21.  The year 2022 also included an additional $31,340 of water tower painting costs to repair errors made during the 2020 project.  Our 2023 test year includes estimated current expenses of $50,000 plus $10,000 for normalized cost of water tower painting per Attachment 19a.
Acct #686 Employee Pensions and Benefits - The Village is increasing the number of operators from 2 to 3.
Acct #688 Regulatory Commission Expenses - We have included normalization costs of .8% for PSC fees plus estimated consulting fees related to this water rate increase.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</si>
</sst>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
    <numFmt numFmtId="166" formatCode="&quot;$&quot;#,##0.00"/>
    <numFmt numFmtId="167" formatCode="0_);\(0\)"/>
    <numFmt numFmtId="168" formatCode="#,##0.0000_);\(#,##0.0000\)"/>
    <numFmt numFmtId="169" formatCode="#,##0.000000_);\(#,##0.000000\)"/>
    <numFmt numFmtId="170" formatCode="0.000000%"/>
    <numFmt numFmtId="171" formatCode="mm/dd/yy;@"/>
    <numFmt numFmtId="172" formatCode="0_);[Red]\(0\)"/>
    <numFmt numFmtId="173" formatCode="_(&quot;$&quot;* #,##0_);_(&quot;$&quot;* \(#,##0\);_(&quot;$&quot;* &quot;-&quot;??_);_(@_)"/>
    <numFmt numFmtId="174" formatCode="0.000000_);[Red]\(0.000000\)"/>
    <numFmt numFmtId="175" formatCode="_(* #,##0_);_(* \(#,##0\);_(* &quot;-&quot;??_);_(@_)"/>
    <numFmt numFmtId="176" formatCode="[$-409]mmmm\ d\,\ yyyy;@"/>
    <numFmt numFmtId="177" formatCode="_([$$-409]* #,##0.00_);_([$$-409]* \(#,##0.00\);_([$$-409]* &quot;-&quot;??_);_(@_)"/>
  </numFmts>
  <fonts count="107" x14ac:knownFonts="1">
    <font>
      <sz val="11"/>
      <color theme="1"/>
      <name val="Calibri"/>
      <family val="2"/>
      <scheme val="minor"/>
    </font>
    <font>
      <sz val="10"/>
      <name val="Arial"/>
      <family val="2"/>
    </font>
    <font>
      <sz val="10"/>
      <name val="Arial"/>
      <family val="2"/>
    </font>
    <font>
      <b/>
      <sz val="10"/>
      <name val="Arial"/>
      <family val="2"/>
    </font>
    <font>
      <i/>
      <sz val="10"/>
      <name val="Arial"/>
      <family val="2"/>
    </font>
    <font>
      <sz val="12"/>
      <name val="Courier"/>
      <family val="3"/>
    </font>
    <font>
      <sz val="12"/>
      <name val="Times New Roman"/>
      <family val="1"/>
    </font>
    <font>
      <sz val="10"/>
      <color indexed="16"/>
      <name val="Arial"/>
      <family val="2"/>
    </font>
    <font>
      <u/>
      <sz val="10"/>
      <color indexed="12"/>
      <name val="Arial"/>
      <family val="2"/>
    </font>
    <font>
      <b/>
      <sz val="10"/>
      <color indexed="12"/>
      <name val="Arial"/>
      <family val="2"/>
    </font>
    <font>
      <b/>
      <u/>
      <sz val="10"/>
      <color indexed="12"/>
      <name val="Arial"/>
      <family val="2"/>
    </font>
    <font>
      <b/>
      <sz val="12"/>
      <name val="Times New Roman"/>
      <family val="1"/>
    </font>
    <font>
      <sz val="7"/>
      <name val="Times New Roman"/>
      <family val="1"/>
    </font>
    <font>
      <sz val="10"/>
      <color indexed="12"/>
      <name val="Arial"/>
      <family val="2"/>
    </font>
    <font>
      <b/>
      <sz val="11"/>
      <name val="Arial"/>
      <family val="2"/>
    </font>
    <font>
      <sz val="12"/>
      <name val="Arial"/>
      <family val="2"/>
    </font>
    <font>
      <b/>
      <sz val="12"/>
      <name val="Arial"/>
      <family val="2"/>
    </font>
    <font>
      <b/>
      <sz val="12"/>
      <color indexed="12"/>
      <name val="Arial"/>
      <family val="2"/>
    </font>
    <font>
      <b/>
      <u/>
      <sz val="10"/>
      <color indexed="18"/>
      <name val="Arial"/>
      <family val="2"/>
    </font>
    <font>
      <sz val="10"/>
      <color indexed="18"/>
      <name val="Arial"/>
      <family val="2"/>
    </font>
    <font>
      <b/>
      <u/>
      <sz val="10"/>
      <color indexed="14"/>
      <name val="Arial"/>
      <family val="2"/>
    </font>
    <font>
      <u/>
      <sz val="10"/>
      <name val="Arial"/>
      <family val="2"/>
    </font>
    <font>
      <sz val="10"/>
      <color indexed="10"/>
      <name val="Arial"/>
      <family val="2"/>
    </font>
    <font>
      <i/>
      <sz val="12"/>
      <name val="Arial"/>
      <family val="2"/>
    </font>
    <font>
      <b/>
      <u/>
      <sz val="10"/>
      <name val="Arial"/>
      <family val="2"/>
    </font>
    <font>
      <i/>
      <sz val="10"/>
      <color indexed="10"/>
      <name val="Arial"/>
      <family val="2"/>
    </font>
    <font>
      <i/>
      <sz val="10"/>
      <color indexed="12"/>
      <name val="Arial"/>
      <family val="2"/>
    </font>
    <font>
      <sz val="10"/>
      <color indexed="56"/>
      <name val="Arial"/>
      <family val="2"/>
    </font>
    <font>
      <sz val="10"/>
      <color indexed="8"/>
      <name val="Arial"/>
      <family val="2"/>
    </font>
    <font>
      <b/>
      <sz val="10"/>
      <color indexed="8"/>
      <name val="Arial"/>
      <family val="2"/>
    </font>
    <font>
      <sz val="12"/>
      <color indexed="12"/>
      <name val="Arial"/>
      <family val="2"/>
    </font>
    <font>
      <sz val="12"/>
      <color indexed="10"/>
      <name val="Arial"/>
      <family val="2"/>
    </font>
    <font>
      <b/>
      <u/>
      <sz val="12"/>
      <color indexed="12"/>
      <name val="Arial"/>
      <family val="2"/>
    </font>
    <font>
      <sz val="10"/>
      <color indexed="17"/>
      <name val="Arial"/>
      <family val="2"/>
    </font>
    <font>
      <u/>
      <sz val="10"/>
      <color indexed="57"/>
      <name val="Arial"/>
      <family val="2"/>
    </font>
    <font>
      <sz val="12"/>
      <color indexed="12"/>
      <name val="Times New Roman"/>
      <family val="1"/>
    </font>
    <font>
      <b/>
      <u/>
      <sz val="14"/>
      <color indexed="12"/>
      <name val="Times New Roman"/>
      <family val="1"/>
    </font>
    <font>
      <b/>
      <u/>
      <sz val="14"/>
      <name val="Times New Roman"/>
      <family val="1"/>
    </font>
    <font>
      <u/>
      <sz val="14"/>
      <color indexed="12"/>
      <name val="Arial"/>
      <family val="2"/>
    </font>
    <font>
      <b/>
      <sz val="14"/>
      <color indexed="10"/>
      <name val="Times New Roman"/>
      <family val="1"/>
    </font>
    <font>
      <u/>
      <sz val="12"/>
      <name val="Arial"/>
      <family val="2"/>
    </font>
    <font>
      <u/>
      <sz val="14"/>
      <name val="Arial"/>
      <family val="2"/>
    </font>
    <font>
      <sz val="12"/>
      <color indexed="18"/>
      <name val="Arial"/>
      <family val="2"/>
    </font>
    <font>
      <u/>
      <sz val="12"/>
      <color indexed="12"/>
      <name val="Arial"/>
      <family val="2"/>
    </font>
    <font>
      <sz val="12"/>
      <color indexed="18"/>
      <name val="Times New Roman"/>
      <family val="1"/>
    </font>
    <font>
      <sz val="11"/>
      <name val="Arial"/>
      <family val="2"/>
    </font>
    <font>
      <b/>
      <sz val="14"/>
      <name val="Arial"/>
      <family val="2"/>
    </font>
    <font>
      <sz val="14"/>
      <name val="Arial"/>
      <family val="2"/>
    </font>
    <font>
      <b/>
      <u/>
      <sz val="11"/>
      <color indexed="12"/>
      <name val="Arial"/>
      <family val="2"/>
    </font>
    <font>
      <b/>
      <u/>
      <sz val="11"/>
      <name val="Arial"/>
      <family val="2"/>
    </font>
    <font>
      <u/>
      <sz val="11"/>
      <name val="Arial"/>
      <family val="2"/>
    </font>
    <font>
      <sz val="10"/>
      <color indexed="57"/>
      <name val="Arial"/>
      <family val="2"/>
    </font>
    <font>
      <sz val="11"/>
      <color indexed="12"/>
      <name val="Arial"/>
      <family val="2"/>
    </font>
    <font>
      <u/>
      <sz val="11"/>
      <color indexed="12"/>
      <name val="Arial"/>
      <family val="2"/>
    </font>
    <font>
      <sz val="11"/>
      <color indexed="17"/>
      <name val="Arial"/>
      <family val="2"/>
    </font>
    <font>
      <b/>
      <sz val="11"/>
      <color indexed="12"/>
      <name val="Arial"/>
      <family val="2"/>
    </font>
    <font>
      <b/>
      <sz val="20"/>
      <name val="Arial"/>
      <family val="2"/>
    </font>
    <font>
      <sz val="20"/>
      <name val="Arial"/>
      <family val="2"/>
    </font>
    <font>
      <b/>
      <i/>
      <sz val="12"/>
      <name val="Arial"/>
      <family val="2"/>
    </font>
    <font>
      <i/>
      <u/>
      <sz val="10"/>
      <name val="Arial"/>
      <family val="2"/>
    </font>
    <font>
      <sz val="9"/>
      <name val="Arial"/>
      <family val="2"/>
    </font>
    <font>
      <b/>
      <sz val="9"/>
      <name val="Arial"/>
      <family val="2"/>
    </font>
    <font>
      <b/>
      <i/>
      <sz val="9"/>
      <name val="Arial"/>
      <family val="2"/>
    </font>
    <font>
      <u/>
      <sz val="9"/>
      <color indexed="12"/>
      <name val="Arial"/>
      <family val="2"/>
    </font>
    <font>
      <i/>
      <sz val="8"/>
      <name val="Arial"/>
      <family val="2"/>
    </font>
    <font>
      <b/>
      <u/>
      <sz val="10"/>
      <color indexed="8"/>
      <name val="Arial"/>
      <family val="2"/>
    </font>
    <font>
      <b/>
      <sz val="10"/>
      <color indexed="10"/>
      <name val="Arial"/>
      <family val="2"/>
    </font>
    <font>
      <sz val="10"/>
      <color indexed="12"/>
      <name val="Arial"/>
      <family val="2"/>
    </font>
    <font>
      <sz val="16"/>
      <color indexed="8"/>
      <name val="Calibri"/>
      <family val="2"/>
    </font>
    <font>
      <sz val="8"/>
      <color indexed="8"/>
      <name val="Segoe UI"/>
      <family val="2"/>
    </font>
    <font>
      <sz val="18"/>
      <color indexed="8"/>
      <name val="Calibri"/>
      <family val="2"/>
    </font>
    <font>
      <u/>
      <sz val="12"/>
      <name val="Times New Roman"/>
      <family val="1"/>
    </font>
    <font>
      <b/>
      <sz val="16"/>
      <name val="Arial"/>
      <family val="2"/>
    </font>
    <font>
      <b/>
      <sz val="11"/>
      <color indexed="8"/>
      <name val="Calibri"/>
      <family val="2"/>
    </font>
    <font>
      <b/>
      <sz val="18"/>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1"/>
      <color theme="1"/>
      <name val="Arial"/>
      <family val="2"/>
    </font>
    <font>
      <sz val="10"/>
      <color theme="1"/>
      <name val="Arial"/>
      <family val="2"/>
    </font>
    <font>
      <i/>
      <sz val="10"/>
      <color theme="1"/>
      <name val="Arial"/>
      <family val="2"/>
    </font>
    <font>
      <b/>
      <sz val="10"/>
      <color theme="1"/>
      <name val="Arial"/>
      <family val="2"/>
    </font>
    <font>
      <u/>
      <sz val="10"/>
      <color theme="1"/>
      <name val="Arial"/>
      <family val="2"/>
    </font>
    <font>
      <b/>
      <u/>
      <sz val="10"/>
      <color theme="1"/>
      <name val="Arial"/>
      <family val="2"/>
    </font>
    <font>
      <b/>
      <sz val="11"/>
      <color theme="1"/>
      <name val="Arial"/>
      <family val="2"/>
    </font>
    <font>
      <sz val="10"/>
      <color theme="0"/>
      <name val="Arial"/>
      <family val="2"/>
    </font>
    <font>
      <b/>
      <sz val="10"/>
      <color rgb="FFC00000"/>
      <name val="Arial"/>
      <family val="2"/>
    </font>
    <font>
      <sz val="12"/>
      <color theme="0"/>
      <name val="Times New Roman"/>
      <family val="1"/>
    </font>
    <font>
      <i/>
      <sz val="10.5"/>
      <color theme="1"/>
      <name val="Arial"/>
      <family val="2"/>
    </font>
    <font>
      <sz val="8"/>
      <color theme="1"/>
      <name val="Arial"/>
      <family val="2"/>
    </font>
    <font>
      <b/>
      <sz val="8"/>
      <color theme="1"/>
      <name val="Arial"/>
      <family val="2"/>
    </font>
    <font>
      <sz val="10"/>
      <color rgb="FF000000"/>
      <name val="Arial"/>
      <family val="2"/>
    </font>
    <font>
      <i/>
      <sz val="11"/>
      <color theme="1"/>
      <name val="Arial"/>
      <family val="2"/>
    </font>
    <font>
      <sz val="9"/>
      <color theme="1"/>
      <name val="Arial"/>
      <family val="2"/>
    </font>
    <font>
      <u/>
      <sz val="11"/>
      <color rgb="FF0000FF"/>
      <name val="Arial"/>
      <family val="2"/>
    </font>
    <font>
      <sz val="11"/>
      <color rgb="FF0000FF"/>
      <name val="Arial"/>
      <family val="2"/>
    </font>
    <font>
      <sz val="12"/>
      <color theme="1"/>
      <name val="Calibri"/>
      <family val="2"/>
      <scheme val="minor"/>
    </font>
    <font>
      <b/>
      <sz val="11"/>
      <color rgb="FF000000"/>
      <name val="Calibri"/>
      <family val="2"/>
      <scheme val="minor"/>
    </font>
    <font>
      <sz val="11"/>
      <color rgb="FF000000"/>
      <name val="Calibri"/>
      <family val="2"/>
      <scheme val="minor"/>
    </font>
    <font>
      <b/>
      <sz val="12"/>
      <color theme="1"/>
      <name val="Calibri"/>
      <family val="2"/>
      <scheme val="minor"/>
    </font>
    <font>
      <sz val="10"/>
      <color rgb="FFC00000"/>
      <name val="Arial"/>
      <family val="2"/>
    </font>
    <font>
      <sz val="9.25"/>
      <color theme="1"/>
      <name val="Arial"/>
      <family val="2"/>
    </font>
    <font>
      <b/>
      <sz val="9"/>
      <color theme="1"/>
      <name val="Arial"/>
      <family val="2"/>
    </font>
    <font>
      <b/>
      <sz val="11"/>
      <name val="Calibri"/>
      <family val="2"/>
      <scheme val="minor"/>
    </font>
    <font>
      <b/>
      <u/>
      <sz val="10"/>
      <color rgb="FFC00000"/>
      <name val="Arial"/>
      <family val="2"/>
    </font>
  </fonts>
  <fills count="23">
    <fill>
      <patternFill patternType="none"/>
    </fill>
    <fill>
      <patternFill patternType="gray125"/>
    </fill>
    <fill>
      <patternFill patternType="solid">
        <fgColor indexed="16"/>
        <bgColor indexed="64"/>
      </patternFill>
    </fill>
    <fill>
      <patternFill patternType="solid">
        <fgColor indexed="10"/>
        <bgColor indexed="64"/>
      </patternFill>
    </fill>
    <fill>
      <patternFill patternType="solid">
        <fgColor indexed="9"/>
        <bgColor indexed="64"/>
      </patternFill>
    </fill>
    <fill>
      <patternFill patternType="solid">
        <fgColor indexed="22"/>
        <bgColor indexed="64"/>
      </patternFill>
    </fill>
    <fill>
      <patternFill patternType="solid">
        <fgColor theme="8"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61FF61"/>
        <bgColor indexed="64"/>
      </patternFill>
    </fill>
    <fill>
      <patternFill patternType="lightTrellis">
        <bgColor theme="8" tint="0.39997558519241921"/>
      </patternFill>
    </fill>
    <fill>
      <patternFill patternType="solid">
        <fgColor theme="8" tint="0.59999389629810485"/>
        <bgColor indexed="64"/>
      </patternFill>
    </fill>
    <fill>
      <patternFill patternType="solid">
        <fgColor theme="1"/>
        <bgColor indexed="64"/>
      </patternFill>
    </fill>
    <fill>
      <patternFill patternType="solid">
        <fgColor rgb="FFABFFAB"/>
        <bgColor indexed="64"/>
      </patternFill>
    </fill>
    <fill>
      <patternFill patternType="solid">
        <fgColor theme="8" tint="0.3999450666829432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lightTrellis">
        <bgColor theme="4" tint="0.59999389629810485"/>
      </patternFill>
    </fill>
    <fill>
      <patternFill patternType="solid">
        <fgColor rgb="FFFFFF99"/>
        <bgColor indexed="64"/>
      </patternFill>
    </fill>
    <fill>
      <patternFill patternType="solid">
        <fgColor theme="4" tint="0.79998168889431442"/>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8"/>
      </bottom>
      <diagonal/>
    </border>
    <border>
      <left/>
      <right/>
      <top style="thin">
        <color indexed="8"/>
      </top>
      <bottom/>
      <diagonal/>
    </border>
    <border>
      <left/>
      <right/>
      <top/>
      <bottom style="double">
        <color indexed="8"/>
      </bottom>
      <diagonal/>
    </border>
    <border>
      <left/>
      <right/>
      <top style="thin">
        <color indexed="64"/>
      </top>
      <bottom style="double">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style="thick">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style="thick">
        <color indexed="64"/>
      </top>
      <bottom/>
      <diagonal/>
    </border>
    <border>
      <left style="medium">
        <color indexed="64"/>
      </left>
      <right/>
      <top/>
      <bottom style="thin">
        <color indexed="64"/>
      </bottom>
      <diagonal/>
    </border>
    <border>
      <left/>
      <right/>
      <top style="thick">
        <color indexed="64"/>
      </top>
      <bottom/>
      <diagonal/>
    </border>
    <border>
      <left style="medium">
        <color indexed="64"/>
      </left>
      <right/>
      <top style="thick">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style="thick">
        <color indexed="64"/>
      </bottom>
      <diagonal/>
    </border>
    <border>
      <left/>
      <right/>
      <top/>
      <bottom style="thick">
        <color indexed="64"/>
      </bottom>
      <diagonal/>
    </border>
    <border>
      <left style="thin">
        <color indexed="64"/>
      </left>
      <right/>
      <top/>
      <bottom style="medium">
        <color indexed="64"/>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diagonal/>
    </border>
    <border>
      <left/>
      <right style="double">
        <color rgb="FF00B050"/>
      </right>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70C0"/>
      </left>
      <right/>
      <top/>
      <bottom style="thin">
        <color indexed="64"/>
      </bottom>
      <diagonal/>
    </border>
    <border>
      <left/>
      <right style="thin">
        <color rgb="FFC00000"/>
      </right>
      <top/>
      <bottom/>
      <diagonal/>
    </border>
    <border>
      <left style="thin">
        <color indexed="64"/>
      </left>
      <right style="double">
        <color rgb="FF0070C0"/>
      </right>
      <top style="thin">
        <color indexed="64"/>
      </top>
      <bottom style="thin">
        <color indexed="64"/>
      </bottom>
      <diagonal/>
    </border>
    <border>
      <left style="double">
        <color theme="4"/>
      </left>
      <right/>
      <top/>
      <bottom/>
      <diagonal/>
    </border>
    <border>
      <left/>
      <right/>
      <top/>
      <bottom style="double">
        <color theme="4"/>
      </bottom>
      <diagonal/>
    </border>
    <border>
      <left style="thin">
        <color theme="7"/>
      </left>
      <right/>
      <top/>
      <bottom/>
      <diagonal/>
    </border>
    <border>
      <left/>
      <right style="thin">
        <color theme="7"/>
      </right>
      <top/>
      <bottom/>
      <diagonal/>
    </border>
    <border>
      <left style="thin">
        <color theme="7"/>
      </left>
      <right/>
      <top/>
      <bottom style="thin">
        <color theme="7"/>
      </bottom>
      <diagonal/>
    </border>
    <border>
      <left/>
      <right/>
      <top/>
      <bottom style="thin">
        <color theme="7"/>
      </bottom>
      <diagonal/>
    </border>
    <border>
      <left/>
      <right style="thin">
        <color theme="7"/>
      </right>
      <top/>
      <bottom style="thin">
        <color theme="7"/>
      </bottom>
      <diagonal/>
    </border>
    <border>
      <left/>
      <right style="double">
        <color theme="4"/>
      </right>
      <top/>
      <bottom/>
      <diagonal/>
    </border>
    <border>
      <left style="double">
        <color theme="4"/>
      </left>
      <right/>
      <top/>
      <bottom style="double">
        <color theme="4"/>
      </bottom>
      <diagonal/>
    </border>
    <border>
      <left/>
      <right style="double">
        <color theme="4"/>
      </right>
      <top/>
      <bottom style="double">
        <color theme="4"/>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right style="double">
        <color rgb="FF0070C0"/>
      </right>
      <top style="thin">
        <color indexed="64"/>
      </top>
      <bottom style="thin">
        <color indexed="64"/>
      </bottom>
      <diagonal/>
    </border>
    <border>
      <left style="thin">
        <color indexed="64"/>
      </left>
      <right style="double">
        <color rgb="FF0070C0"/>
      </right>
      <top style="thin">
        <color indexed="64"/>
      </top>
      <bottom style="double">
        <color rgb="FF0070C0"/>
      </bottom>
      <diagonal/>
    </border>
    <border>
      <left/>
      <right/>
      <top/>
      <bottom style="thin">
        <color theme="0" tint="-0.24994659260841701"/>
      </bottom>
      <diagonal/>
    </border>
    <border>
      <left style="thin">
        <color indexed="64"/>
      </left>
      <right/>
      <top/>
      <bottom style="thin">
        <color theme="0"/>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right style="double">
        <color theme="4"/>
      </right>
      <top style="thin">
        <color indexed="64"/>
      </top>
      <bottom style="thin">
        <color indexed="64"/>
      </bottom>
      <diagonal/>
    </border>
    <border>
      <left style="double">
        <color theme="4"/>
      </left>
      <right/>
      <top style="double">
        <color theme="4"/>
      </top>
      <bottom/>
      <diagonal/>
    </border>
    <border>
      <left/>
      <right/>
      <top style="double">
        <color theme="4"/>
      </top>
      <bottom/>
      <diagonal/>
    </border>
    <border>
      <left/>
      <right style="double">
        <color theme="4"/>
      </right>
      <top style="double">
        <color theme="4"/>
      </top>
      <bottom/>
      <diagonal/>
    </border>
  </borders>
  <cellStyleXfs count="13">
    <xf numFmtId="0" fontId="0" fillId="0" borderId="0"/>
    <xf numFmtId="0" fontId="77" fillId="6" borderId="0" applyNumberFormat="0" applyBorder="0" applyAlignment="0" applyProtection="0"/>
    <xf numFmtId="43" fontId="76" fillId="0" borderId="0" applyFont="0" applyFill="0" applyBorder="0" applyAlignment="0" applyProtection="0"/>
    <xf numFmtId="43" fontId="2" fillId="0" borderId="0" applyFont="0" applyFill="0" applyBorder="0" applyAlignment="0" applyProtection="0"/>
    <xf numFmtId="44" fontId="76" fillId="0" borderId="0" applyFont="0" applyFill="0" applyBorder="0" applyAlignment="0" applyProtection="0"/>
    <xf numFmtId="44" fontId="2" fillId="0" borderId="0" applyFont="0" applyFill="0" applyBorder="0" applyAlignment="0" applyProtection="0"/>
    <xf numFmtId="5" fontId="2" fillId="0" borderId="0" applyFont="0" applyFill="0" applyBorder="0" applyAlignment="0" applyProtection="0"/>
    <xf numFmtId="0" fontId="8" fillId="0" borderId="0" applyNumberFormat="0" applyFill="0" applyBorder="0" applyAlignment="0" applyProtection="0">
      <alignment vertical="top"/>
      <protection locked="0"/>
    </xf>
    <xf numFmtId="0" fontId="1" fillId="0" borderId="0"/>
    <xf numFmtId="0" fontId="2" fillId="0" borderId="0"/>
    <xf numFmtId="0" fontId="5" fillId="0" borderId="0"/>
    <xf numFmtId="0" fontId="6" fillId="0" borderId="0"/>
    <xf numFmtId="9" fontId="2" fillId="0" borderId="0" applyFont="0" applyFill="0" applyBorder="0" applyAlignment="0" applyProtection="0"/>
  </cellStyleXfs>
  <cellXfs count="2897">
    <xf numFmtId="0" fontId="0" fillId="0" borderId="0" xfId="0"/>
    <xf numFmtId="0" fontId="2" fillId="0" borderId="0" xfId="8" applyFont="1"/>
    <xf numFmtId="0" fontId="1" fillId="0" borderId="0" xfId="8"/>
    <xf numFmtId="0" fontId="2" fillId="0" borderId="0" xfId="8" applyNumberFormat="1" applyFont="1"/>
    <xf numFmtId="0" fontId="2" fillId="0" borderId="0" xfId="3" applyNumberFormat="1" applyFont="1"/>
    <xf numFmtId="3" fontId="2" fillId="0" borderId="0" xfId="3" applyNumberFormat="1" applyFont="1"/>
    <xf numFmtId="3" fontId="2" fillId="0" borderId="0" xfId="8" applyNumberFormat="1" applyFont="1"/>
    <xf numFmtId="0" fontId="7" fillId="2" borderId="0" xfId="8" applyFont="1" applyFill="1"/>
    <xf numFmtId="0" fontId="6" fillId="0" borderId="0" xfId="8" applyFont="1"/>
    <xf numFmtId="0" fontId="8" fillId="0" borderId="0" xfId="7" applyAlignment="1" applyProtection="1"/>
    <xf numFmtId="0" fontId="6" fillId="7" borderId="0" xfId="8" applyFont="1" applyFill="1"/>
    <xf numFmtId="0" fontId="3" fillId="0" borderId="0" xfId="8" applyFont="1" applyAlignment="1"/>
    <xf numFmtId="0" fontId="6" fillId="0" borderId="0" xfId="8" applyFont="1" applyAlignment="1"/>
    <xf numFmtId="0" fontId="11" fillId="0" borderId="0" xfId="8" applyFont="1" applyAlignment="1"/>
    <xf numFmtId="0" fontId="12" fillId="0" borderId="0" xfId="8" applyFont="1" applyAlignment="1"/>
    <xf numFmtId="0" fontId="2" fillId="0" borderId="0" xfId="8" applyFont="1" applyProtection="1">
      <protection locked="0"/>
    </xf>
    <xf numFmtId="0" fontId="1" fillId="0" borderId="0" xfId="8" applyProtection="1">
      <protection locked="0"/>
    </xf>
    <xf numFmtId="0" fontId="2" fillId="0" borderId="0" xfId="8" applyFont="1" applyFill="1" applyProtection="1">
      <protection locked="0"/>
    </xf>
    <xf numFmtId="0" fontId="2" fillId="0" borderId="0" xfId="8" applyFont="1" applyAlignment="1" applyProtection="1">
      <protection locked="0"/>
    </xf>
    <xf numFmtId="0" fontId="2" fillId="0" borderId="0" xfId="8" applyFont="1" applyFill="1" applyBorder="1" applyProtection="1">
      <protection locked="0"/>
    </xf>
    <xf numFmtId="0" fontId="1" fillId="0" borderId="0" xfId="8" applyFill="1" applyProtection="1">
      <protection locked="0"/>
    </xf>
    <xf numFmtId="0" fontId="8" fillId="0" borderId="0" xfId="7" applyFont="1" applyAlignment="1" applyProtection="1">
      <alignment vertical="top"/>
      <protection locked="0"/>
    </xf>
    <xf numFmtId="0" fontId="22" fillId="0" borderId="0" xfId="8" applyFont="1" applyFill="1" applyProtection="1">
      <protection locked="0"/>
    </xf>
    <xf numFmtId="0" fontId="6" fillId="0" borderId="0" xfId="8" applyFont="1" applyProtection="1">
      <protection locked="0"/>
    </xf>
    <xf numFmtId="0" fontId="4" fillId="0" borderId="0" xfId="8" applyFont="1" applyAlignment="1" applyProtection="1">
      <alignment horizontal="right"/>
      <protection locked="0"/>
    </xf>
    <xf numFmtId="0" fontId="8" fillId="0" borderId="1" xfId="7" applyFont="1" applyBorder="1" applyAlignment="1" applyProtection="1">
      <alignment shrinkToFit="1"/>
      <protection locked="0"/>
    </xf>
    <xf numFmtId="0" fontId="2" fillId="0" borderId="0" xfId="8" applyFont="1" applyBorder="1" applyProtection="1">
      <protection locked="0"/>
    </xf>
    <xf numFmtId="0" fontId="13" fillId="0" borderId="0" xfId="11" applyFont="1" applyProtection="1">
      <protection locked="0"/>
    </xf>
    <xf numFmtId="0" fontId="2" fillId="0" borderId="0" xfId="11" applyFont="1" applyProtection="1">
      <protection locked="0"/>
    </xf>
    <xf numFmtId="0" fontId="2" fillId="3" borderId="0" xfId="11" applyFont="1" applyFill="1" applyProtection="1">
      <protection locked="0"/>
    </xf>
    <xf numFmtId="37" fontId="13" fillId="0" borderId="0" xfId="11" applyNumberFormat="1" applyFont="1" applyBorder="1" applyProtection="1">
      <protection locked="0"/>
    </xf>
    <xf numFmtId="0" fontId="13" fillId="0" borderId="0" xfId="11" applyFont="1" applyBorder="1" applyProtection="1">
      <protection locked="0"/>
    </xf>
    <xf numFmtId="0" fontId="2" fillId="0" borderId="0" xfId="11" applyFont="1" applyBorder="1" applyProtection="1">
      <protection locked="0" hidden="1"/>
    </xf>
    <xf numFmtId="5" fontId="2" fillId="0" borderId="0" xfId="11" applyNumberFormat="1" applyFont="1" applyBorder="1" applyProtection="1">
      <protection locked="0" hidden="1"/>
    </xf>
    <xf numFmtId="0" fontId="13" fillId="0" borderId="0" xfId="11" applyFont="1" applyAlignment="1" applyProtection="1">
      <alignment horizontal="right"/>
      <protection locked="0"/>
    </xf>
    <xf numFmtId="0" fontId="13" fillId="0" borderId="0" xfId="11" applyFont="1" applyBorder="1" applyAlignment="1" applyProtection="1">
      <alignment horizontal="center"/>
      <protection locked="0"/>
    </xf>
    <xf numFmtId="5" fontId="8" fillId="0" borderId="0" xfId="11" applyNumberFormat="1" applyFont="1" applyBorder="1" applyAlignment="1" applyProtection="1">
      <alignment horizontal="right"/>
      <protection locked="0" hidden="1"/>
    </xf>
    <xf numFmtId="0" fontId="22" fillId="0" borderId="0" xfId="11" applyFont="1" applyBorder="1" applyProtection="1">
      <protection locked="0"/>
    </xf>
    <xf numFmtId="5" fontId="13" fillId="0" borderId="0" xfId="11" applyNumberFormat="1" applyFont="1" applyBorder="1" applyProtection="1">
      <protection locked="0" hidden="1"/>
    </xf>
    <xf numFmtId="37" fontId="13" fillId="0" borderId="0" xfId="11" applyNumberFormat="1" applyFont="1" applyBorder="1" applyProtection="1">
      <protection locked="0" hidden="1"/>
    </xf>
    <xf numFmtId="37" fontId="13" fillId="0" borderId="0" xfId="11" applyNumberFormat="1" applyFont="1" applyProtection="1">
      <protection locked="0"/>
    </xf>
    <xf numFmtId="5" fontId="13" fillId="0" borderId="0" xfId="11" applyNumberFormat="1" applyFont="1" applyBorder="1" applyProtection="1">
      <protection locked="0"/>
    </xf>
    <xf numFmtId="0" fontId="2" fillId="0" borderId="0" xfId="11" applyFont="1" applyBorder="1" applyProtection="1">
      <protection locked="0"/>
    </xf>
    <xf numFmtId="0" fontId="80" fillId="0" borderId="0" xfId="8" applyFont="1" applyProtection="1">
      <protection locked="0"/>
    </xf>
    <xf numFmtId="0" fontId="13" fillId="0" borderId="0" xfId="11" applyNumberFormat="1" applyFont="1" applyAlignment="1" applyProtection="1">
      <alignment horizontal="center"/>
      <protection locked="0"/>
    </xf>
    <xf numFmtId="0" fontId="81" fillId="0" borderId="0" xfId="8" applyFont="1" applyProtection="1">
      <protection locked="0"/>
    </xf>
    <xf numFmtId="0" fontId="13" fillId="0" borderId="0" xfId="8" applyFont="1" applyProtection="1">
      <protection locked="0"/>
    </xf>
    <xf numFmtId="0" fontId="15" fillId="0" borderId="0" xfId="8" applyFont="1" applyProtection="1">
      <protection locked="0"/>
    </xf>
    <xf numFmtId="0" fontId="15" fillId="0" borderId="0" xfId="8" applyFont="1" applyAlignment="1" applyProtection="1">
      <alignment horizontal="left"/>
      <protection locked="0"/>
    </xf>
    <xf numFmtId="0" fontId="15" fillId="0" borderId="0" xfId="8" applyFont="1" applyBorder="1" applyProtection="1">
      <protection locked="0"/>
    </xf>
    <xf numFmtId="0" fontId="13" fillId="0" borderId="0" xfId="8" applyFont="1" applyFill="1" applyProtection="1">
      <protection locked="0"/>
    </xf>
    <xf numFmtId="0" fontId="3" fillId="0" borderId="0" xfId="11" applyFont="1" applyProtection="1">
      <protection locked="0"/>
    </xf>
    <xf numFmtId="0" fontId="2" fillId="0" borderId="0" xfId="11" applyFont="1" applyAlignment="1" applyProtection="1">
      <alignment horizontal="centerContinuous"/>
      <protection locked="0"/>
    </xf>
    <xf numFmtId="37" fontId="2" fillId="0" borderId="0" xfId="3" applyNumberFormat="1" applyFont="1" applyProtection="1">
      <protection locked="0"/>
    </xf>
    <xf numFmtId="0" fontId="33" fillId="0" borderId="0" xfId="11" applyFont="1" applyProtection="1">
      <protection locked="0" hidden="1"/>
    </xf>
    <xf numFmtId="5" fontId="13" fillId="0" borderId="0" xfId="11" applyNumberFormat="1" applyFont="1" applyBorder="1" applyProtection="1"/>
    <xf numFmtId="5" fontId="13" fillId="0" borderId="0" xfId="6" applyFont="1" applyAlignment="1" applyProtection="1">
      <alignment horizontal="right"/>
      <protection locked="0"/>
    </xf>
    <xf numFmtId="0" fontId="2" fillId="0" borderId="0" xfId="11" applyFont="1" applyFill="1" applyProtection="1">
      <protection locked="0"/>
    </xf>
    <xf numFmtId="0" fontId="13" fillId="0" borderId="0" xfId="11" applyFont="1" applyFill="1" applyBorder="1" applyProtection="1">
      <protection locked="0"/>
    </xf>
    <xf numFmtId="38" fontId="2" fillId="0" borderId="0" xfId="11" applyNumberFormat="1" applyFont="1" applyProtection="1">
      <protection locked="0"/>
    </xf>
    <xf numFmtId="38" fontId="2" fillId="0" borderId="0" xfId="8" applyNumberFormat="1" applyFont="1" applyProtection="1">
      <protection locked="0"/>
    </xf>
    <xf numFmtId="10" fontId="2" fillId="0" borderId="0" xfId="8" applyNumberFormat="1" applyFont="1" applyProtection="1">
      <protection locked="0"/>
    </xf>
    <xf numFmtId="172" fontId="2" fillId="0" borderId="0" xfId="8" applyNumberFormat="1" applyFont="1" applyProtection="1">
      <protection locked="0"/>
    </xf>
    <xf numFmtId="0" fontId="1" fillId="0" borderId="0" xfId="8" applyAlignment="1" applyProtection="1">
      <protection locked="0"/>
    </xf>
    <xf numFmtId="0" fontId="1" fillId="0" borderId="0" xfId="8" applyAlignment="1" applyProtection="1">
      <alignment vertical="center"/>
      <protection locked="0"/>
    </xf>
    <xf numFmtId="0" fontId="39" fillId="0" borderId="0" xfId="8" applyFont="1" applyAlignment="1" applyProtection="1">
      <alignment vertical="top" wrapText="1"/>
      <protection locked="0"/>
    </xf>
    <xf numFmtId="0" fontId="42" fillId="0" borderId="0" xfId="8" applyFont="1" applyProtection="1">
      <protection locked="0"/>
    </xf>
    <xf numFmtId="10" fontId="13" fillId="0" borderId="0" xfId="11" applyNumberFormat="1" applyFont="1" applyBorder="1" applyProtection="1"/>
    <xf numFmtId="14" fontId="2" fillId="8" borderId="1" xfId="8" applyNumberFormat="1" applyFont="1" applyFill="1" applyBorder="1" applyProtection="1">
      <protection locked="0"/>
    </xf>
    <xf numFmtId="3" fontId="2" fillId="8" borderId="1" xfId="8" applyNumberFormat="1" applyFont="1" applyFill="1" applyBorder="1" applyProtection="1">
      <protection locked="0"/>
    </xf>
    <xf numFmtId="0" fontId="2" fillId="8" borderId="1" xfId="8" applyNumberFormat="1" applyFont="1" applyFill="1" applyBorder="1" applyAlignment="1" applyProtection="1">
      <alignment horizontal="center" vertical="center"/>
      <protection locked="0"/>
    </xf>
    <xf numFmtId="0" fontId="1" fillId="0" borderId="0" xfId="8" applyFont="1" applyFill="1" applyBorder="1" applyAlignment="1" applyProtection="1">
      <protection hidden="1"/>
    </xf>
    <xf numFmtId="0" fontId="6" fillId="9" borderId="0" xfId="8" applyFont="1" applyFill="1"/>
    <xf numFmtId="0" fontId="1" fillId="2" borderId="0" xfId="8" applyFont="1" applyFill="1"/>
    <xf numFmtId="0" fontId="1" fillId="0" borderId="0" xfId="8" applyFont="1"/>
    <xf numFmtId="0" fontId="1" fillId="0" borderId="0" xfId="8" applyFont="1" applyAlignment="1">
      <alignment horizontal="center"/>
    </xf>
    <xf numFmtId="0" fontId="1" fillId="0" borderId="0" xfId="8" applyFont="1" applyAlignment="1"/>
    <xf numFmtId="0" fontId="1" fillId="0" borderId="0" xfId="8" applyFont="1" applyAlignment="1">
      <alignment horizontal="left" indent="3"/>
    </xf>
    <xf numFmtId="0" fontId="2" fillId="7" borderId="0" xfId="11" applyFont="1" applyFill="1" applyProtection="1">
      <protection locked="0"/>
    </xf>
    <xf numFmtId="0" fontId="13" fillId="7" borderId="0" xfId="11" applyFont="1" applyFill="1" applyProtection="1">
      <protection locked="0"/>
    </xf>
    <xf numFmtId="0" fontId="2" fillId="7" borderId="0" xfId="8" applyFont="1" applyFill="1" applyAlignment="1" applyProtection="1">
      <protection locked="0"/>
    </xf>
    <xf numFmtId="0" fontId="82" fillId="7" borderId="0" xfId="11" applyFont="1" applyFill="1" applyProtection="1">
      <protection hidden="1"/>
    </xf>
    <xf numFmtId="0" fontId="81" fillId="7" borderId="0" xfId="11" applyFont="1" applyFill="1" applyProtection="1"/>
    <xf numFmtId="0" fontId="81" fillId="7" borderId="0" xfId="11" applyFont="1" applyFill="1" applyAlignment="1" applyProtection="1">
      <alignment horizontal="right"/>
      <protection locked="0"/>
    </xf>
    <xf numFmtId="0" fontId="81" fillId="7" borderId="0" xfId="11" applyFont="1" applyFill="1" applyProtection="1">
      <protection locked="0"/>
    </xf>
    <xf numFmtId="0" fontId="81" fillId="0" borderId="0" xfId="11" applyFont="1" applyProtection="1">
      <protection locked="0"/>
    </xf>
    <xf numFmtId="0" fontId="81" fillId="7" borderId="0" xfId="11" applyFont="1" applyFill="1" applyAlignment="1" applyProtection="1">
      <alignment horizontal="centerContinuous"/>
    </xf>
    <xf numFmtId="0" fontId="81" fillId="7" borderId="0" xfId="11" applyFont="1" applyFill="1" applyAlignment="1" applyProtection="1">
      <alignment horizontal="centerContinuous"/>
      <protection locked="0"/>
    </xf>
    <xf numFmtId="5" fontId="83" fillId="7" borderId="0" xfId="11" applyNumberFormat="1" applyFont="1" applyFill="1" applyBorder="1" applyAlignment="1" applyProtection="1">
      <alignment horizontal="center"/>
      <protection locked="0"/>
    </xf>
    <xf numFmtId="0" fontId="83" fillId="7" borderId="0" xfId="8" applyFont="1" applyFill="1" applyAlignment="1" applyProtection="1">
      <alignment horizontal="center"/>
      <protection locked="0"/>
    </xf>
    <xf numFmtId="0" fontId="81" fillId="7" borderId="0" xfId="11" applyFont="1" applyFill="1" applyAlignment="1" applyProtection="1">
      <protection locked="0"/>
    </xf>
    <xf numFmtId="0" fontId="81" fillId="7" borderId="0" xfId="11" applyFont="1" applyFill="1" applyBorder="1" applyAlignment="1" applyProtection="1">
      <alignment horizontal="centerContinuous"/>
      <protection locked="0"/>
    </xf>
    <xf numFmtId="0" fontId="81" fillId="7" borderId="0" xfId="8" applyFont="1" applyFill="1" applyProtection="1">
      <protection locked="0"/>
    </xf>
    <xf numFmtId="0" fontId="83" fillId="7" borderId="0" xfId="11" applyFont="1" applyFill="1" applyProtection="1">
      <protection locked="0"/>
    </xf>
    <xf numFmtId="0" fontId="84" fillId="7" borderId="0" xfId="8" applyFont="1" applyFill="1" applyBorder="1" applyAlignment="1" applyProtection="1">
      <alignment horizontal="center"/>
      <protection locked="0"/>
    </xf>
    <xf numFmtId="0" fontId="81" fillId="7" borderId="0" xfId="8" applyFont="1" applyFill="1" applyAlignment="1" applyProtection="1">
      <alignment horizontal="center"/>
      <protection locked="0"/>
    </xf>
    <xf numFmtId="0" fontId="81" fillId="7" borderId="0" xfId="8" applyFont="1" applyFill="1" applyBorder="1" applyProtection="1">
      <protection locked="0"/>
    </xf>
    <xf numFmtId="0" fontId="81" fillId="7" borderId="0" xfId="8" applyFont="1" applyFill="1" applyAlignment="1" applyProtection="1">
      <protection locked="0"/>
    </xf>
    <xf numFmtId="0" fontId="81" fillId="7" borderId="0" xfId="8" applyFont="1" applyFill="1" applyBorder="1" applyAlignment="1" applyProtection="1">
      <alignment horizontal="center" shrinkToFit="1"/>
      <protection locked="0"/>
    </xf>
    <xf numFmtId="42" fontId="84" fillId="7" borderId="0" xfId="5" applyNumberFormat="1" applyFont="1" applyFill="1" applyBorder="1" applyProtection="1">
      <protection locked="0"/>
    </xf>
    <xf numFmtId="0" fontId="83" fillId="7" borderId="0" xfId="11" applyFont="1" applyFill="1" applyBorder="1" applyProtection="1">
      <protection locked="0"/>
    </xf>
    <xf numFmtId="0" fontId="81" fillId="10" borderId="0" xfId="8" applyFont="1" applyFill="1" applyBorder="1" applyProtection="1">
      <protection locked="0"/>
    </xf>
    <xf numFmtId="0" fontId="81" fillId="10" borderId="0" xfId="8" applyFont="1" applyFill="1" applyBorder="1" applyAlignment="1" applyProtection="1">
      <alignment horizontal="left"/>
      <protection locked="0"/>
    </xf>
    <xf numFmtId="172" fontId="81" fillId="10" borderId="0" xfId="8" applyNumberFormat="1" applyFont="1" applyFill="1" applyBorder="1" applyProtection="1">
      <protection locked="0"/>
    </xf>
    <xf numFmtId="10" fontId="81" fillId="10" borderId="0" xfId="8" applyNumberFormat="1" applyFont="1" applyFill="1" applyBorder="1" applyProtection="1">
      <protection locked="0"/>
    </xf>
    <xf numFmtId="0" fontId="81" fillId="10" borderId="0" xfId="8" applyFont="1" applyFill="1" applyBorder="1" applyAlignment="1" applyProtection="1">
      <alignment horizontal="center"/>
      <protection locked="0"/>
    </xf>
    <xf numFmtId="0" fontId="84" fillId="10" borderId="0" xfId="8" applyFont="1" applyFill="1" applyBorder="1" applyAlignment="1" applyProtection="1">
      <alignment horizontal="center"/>
      <protection locked="0"/>
    </xf>
    <xf numFmtId="0" fontId="81" fillId="10" borderId="0" xfId="11" applyFont="1" applyFill="1" applyBorder="1" applyAlignment="1" applyProtection="1">
      <alignment horizontal="center"/>
    </xf>
    <xf numFmtId="38" fontId="81" fillId="10" borderId="0" xfId="3" applyNumberFormat="1" applyFont="1" applyFill="1" applyBorder="1" applyAlignment="1" applyProtection="1">
      <alignment horizontal="right"/>
      <protection locked="0"/>
    </xf>
    <xf numFmtId="38" fontId="81" fillId="10" borderId="0" xfId="8" applyNumberFormat="1" applyFont="1" applyFill="1" applyBorder="1" applyProtection="1"/>
    <xf numFmtId="0" fontId="81" fillId="10" borderId="0" xfId="11" applyFont="1" applyFill="1" applyBorder="1" applyAlignment="1" applyProtection="1">
      <alignment horizontal="center"/>
      <protection locked="0"/>
    </xf>
    <xf numFmtId="38" fontId="81" fillId="8" borderId="1" xfId="3" applyNumberFormat="1" applyFont="1" applyFill="1" applyBorder="1" applyAlignment="1" applyProtection="1">
      <alignment horizontal="right"/>
      <protection locked="0"/>
    </xf>
    <xf numFmtId="37" fontId="81" fillId="8" borderId="1" xfId="8" applyNumberFormat="1" applyFont="1" applyFill="1" applyBorder="1" applyProtection="1">
      <protection locked="0"/>
    </xf>
    <xf numFmtId="42" fontId="84" fillId="10" borderId="0" xfId="5" applyNumberFormat="1" applyFont="1" applyFill="1" applyBorder="1" applyProtection="1">
      <protection locked="0"/>
    </xf>
    <xf numFmtId="0" fontId="81" fillId="10" borderId="0" xfId="8" applyFont="1" applyFill="1" applyBorder="1" applyAlignment="1" applyProtection="1">
      <alignment wrapText="1"/>
      <protection locked="0"/>
    </xf>
    <xf numFmtId="0" fontId="83" fillId="10" borderId="0" xfId="8" applyFont="1" applyFill="1" applyBorder="1" applyAlignment="1" applyProtection="1">
      <alignment horizontal="left"/>
      <protection locked="0"/>
    </xf>
    <xf numFmtId="0" fontId="85" fillId="10" borderId="0" xfId="8" applyFont="1" applyFill="1" applyBorder="1" applyAlignment="1" applyProtection="1">
      <alignment horizontal="left"/>
      <protection locked="0"/>
    </xf>
    <xf numFmtId="0" fontId="83" fillId="10" borderId="0" xfId="8" applyFont="1" applyFill="1" applyBorder="1" applyProtection="1">
      <protection locked="0"/>
    </xf>
    <xf numFmtId="0" fontId="85" fillId="10" borderId="0" xfId="8" applyFont="1" applyFill="1" applyBorder="1" applyProtection="1">
      <protection locked="0"/>
    </xf>
    <xf numFmtId="0" fontId="81" fillId="10" borderId="0" xfId="8" applyFont="1" applyFill="1" applyBorder="1" applyAlignment="1" applyProtection="1">
      <alignment vertical="top"/>
      <protection locked="0"/>
    </xf>
    <xf numFmtId="0" fontId="81" fillId="10" borderId="0" xfId="8" applyFont="1" applyFill="1" applyBorder="1" applyAlignment="1" applyProtection="1">
      <alignment horizontal="left" vertical="top"/>
      <protection locked="0"/>
    </xf>
    <xf numFmtId="0" fontId="81" fillId="10" borderId="0" xfId="8" applyFont="1" applyFill="1" applyBorder="1" applyAlignment="1" applyProtection="1">
      <alignment horizontal="left" vertical="center"/>
      <protection locked="0"/>
    </xf>
    <xf numFmtId="0" fontId="81" fillId="10" borderId="0" xfId="8" applyFont="1" applyFill="1" applyBorder="1" applyAlignment="1" applyProtection="1">
      <alignment vertical="top" wrapText="1"/>
      <protection locked="0"/>
    </xf>
    <xf numFmtId="0" fontId="81" fillId="10" borderId="0" xfId="8" applyFont="1" applyFill="1" applyBorder="1" applyAlignment="1" applyProtection="1">
      <alignment horizontal="center" shrinkToFit="1"/>
      <protection locked="0"/>
    </xf>
    <xf numFmtId="0" fontId="83" fillId="10" borderId="64" xfId="11" applyFont="1" applyFill="1" applyBorder="1" applyProtection="1">
      <protection locked="0"/>
    </xf>
    <xf numFmtId="0" fontId="81" fillId="10" borderId="65" xfId="8" applyFont="1" applyFill="1" applyBorder="1" applyProtection="1">
      <protection locked="0"/>
    </xf>
    <xf numFmtId="0" fontId="81" fillId="10" borderId="66" xfId="8" applyFont="1" applyFill="1" applyBorder="1" applyProtection="1">
      <protection locked="0"/>
    </xf>
    <xf numFmtId="0" fontId="85" fillId="10" borderId="67" xfId="8" applyFont="1" applyFill="1" applyBorder="1" applyProtection="1">
      <protection locked="0"/>
    </xf>
    <xf numFmtId="0" fontId="81" fillId="10" borderId="68" xfId="8" applyFont="1" applyFill="1" applyBorder="1" applyProtection="1">
      <protection locked="0"/>
    </xf>
    <xf numFmtId="0" fontId="81" fillId="10" borderId="67" xfId="8" applyFont="1" applyFill="1" applyBorder="1" applyProtection="1">
      <protection locked="0"/>
    </xf>
    <xf numFmtId="0" fontId="85" fillId="10" borderId="67" xfId="8" applyFont="1" applyFill="1" applyBorder="1" applyAlignment="1" applyProtection="1">
      <alignment horizontal="left"/>
      <protection locked="0"/>
    </xf>
    <xf numFmtId="0" fontId="83" fillId="10" borderId="67" xfId="11" applyFont="1" applyFill="1" applyBorder="1" applyProtection="1">
      <protection locked="0"/>
    </xf>
    <xf numFmtId="0" fontId="81" fillId="10" borderId="0" xfId="8" applyFont="1" applyFill="1" applyBorder="1" applyAlignment="1" applyProtection="1">
      <alignment vertical="top" wrapText="1"/>
    </xf>
    <xf numFmtId="0" fontId="81" fillId="10" borderId="0" xfId="8" applyFont="1" applyFill="1" applyBorder="1" applyAlignment="1" applyProtection="1">
      <alignment vertical="top"/>
    </xf>
    <xf numFmtId="0" fontId="83" fillId="10" borderId="0" xfId="8" applyFont="1" applyFill="1" applyBorder="1" applyAlignment="1" applyProtection="1">
      <protection locked="0"/>
    </xf>
    <xf numFmtId="0" fontId="81" fillId="10" borderId="0" xfId="8" applyFont="1" applyFill="1" applyBorder="1" applyAlignment="1" applyProtection="1">
      <protection locked="0"/>
    </xf>
    <xf numFmtId="0" fontId="83" fillId="10" borderId="67" xfId="8" applyFont="1" applyFill="1" applyBorder="1" applyAlignment="1" applyProtection="1">
      <alignment horizontal="left"/>
      <protection locked="0"/>
    </xf>
    <xf numFmtId="0" fontId="81" fillId="10" borderId="69" xfId="8" applyFont="1" applyFill="1" applyBorder="1" applyProtection="1">
      <protection locked="0"/>
    </xf>
    <xf numFmtId="0" fontId="81" fillId="10" borderId="70" xfId="8" applyFont="1" applyFill="1" applyBorder="1" applyProtection="1">
      <protection locked="0"/>
    </xf>
    <xf numFmtId="0" fontId="81" fillId="10" borderId="71" xfId="8" applyFont="1" applyFill="1" applyBorder="1" applyProtection="1">
      <protection locked="0"/>
    </xf>
    <xf numFmtId="38" fontId="81" fillId="10" borderId="1" xfId="8" applyNumberFormat="1" applyFont="1" applyFill="1" applyBorder="1" applyProtection="1"/>
    <xf numFmtId="0" fontId="81" fillId="7" borderId="0" xfId="8" applyFont="1" applyFill="1" applyBorder="1" applyAlignment="1" applyProtection="1">
      <protection locked="0"/>
    </xf>
    <xf numFmtId="0" fontId="81" fillId="7" borderId="0" xfId="8" applyFont="1" applyFill="1" applyBorder="1" applyAlignment="1" applyProtection="1">
      <alignment vertical="top"/>
      <protection locked="0"/>
    </xf>
    <xf numFmtId="0" fontId="81" fillId="7" borderId="0" xfId="8" applyFont="1" applyFill="1" applyBorder="1" applyAlignment="1" applyProtection="1">
      <alignment wrapText="1"/>
      <protection locked="0"/>
    </xf>
    <xf numFmtId="0" fontId="81" fillId="10" borderId="0" xfId="8" applyFont="1" applyFill="1" applyBorder="1" applyAlignment="1" applyProtection="1">
      <alignment horizontal="left" wrapText="1" indent="1"/>
      <protection locked="0"/>
    </xf>
    <xf numFmtId="0" fontId="81" fillId="10" borderId="0" xfId="8" applyFont="1" applyFill="1" applyBorder="1" applyAlignment="1" applyProtection="1">
      <alignment horizontal="left" indent="1"/>
      <protection locked="0"/>
    </xf>
    <xf numFmtId="0" fontId="83" fillId="10" borderId="0" xfId="8" applyFont="1" applyFill="1" applyBorder="1" applyAlignment="1" applyProtection="1">
      <alignment horizontal="center" vertical="top"/>
      <protection locked="0"/>
    </xf>
    <xf numFmtId="0" fontId="83" fillId="10" borderId="0" xfId="8" applyFont="1" applyFill="1" applyBorder="1" applyAlignment="1" applyProtection="1">
      <alignment horizontal="left" vertical="top"/>
      <protection locked="0"/>
    </xf>
    <xf numFmtId="0" fontId="81" fillId="10" borderId="0" xfId="8" applyFont="1" applyFill="1" applyBorder="1" applyAlignment="1" applyProtection="1">
      <alignment horizontal="left" indent="1"/>
    </xf>
    <xf numFmtId="0" fontId="81" fillId="10" borderId="0" xfId="8" applyFont="1" applyFill="1" applyBorder="1" applyAlignment="1" applyProtection="1"/>
    <xf numFmtId="0" fontId="81" fillId="10" borderId="67" xfId="8" applyFont="1" applyFill="1" applyBorder="1" applyAlignment="1" applyProtection="1">
      <protection locked="0"/>
    </xf>
    <xf numFmtId="0" fontId="81" fillId="10" borderId="69" xfId="8" applyFont="1" applyFill="1" applyBorder="1" applyAlignment="1" applyProtection="1">
      <protection locked="0"/>
    </xf>
    <xf numFmtId="0" fontId="81" fillId="10" borderId="70" xfId="8" applyFont="1" applyFill="1" applyBorder="1" applyAlignment="1" applyProtection="1">
      <alignment vertical="top"/>
      <protection locked="0"/>
    </xf>
    <xf numFmtId="0" fontId="83" fillId="10" borderId="70" xfId="8" applyFont="1" applyFill="1" applyBorder="1" applyAlignment="1" applyProtection="1">
      <alignment horizontal="center" vertical="top"/>
      <protection locked="0"/>
    </xf>
    <xf numFmtId="42" fontId="84" fillId="10" borderId="70" xfId="5" applyNumberFormat="1" applyFont="1" applyFill="1" applyBorder="1" applyProtection="1">
      <protection locked="0"/>
    </xf>
    <xf numFmtId="0" fontId="81" fillId="7" borderId="0" xfId="11" applyFont="1" applyFill="1" applyBorder="1" applyAlignment="1" applyProtection="1">
      <alignment horizontal="left"/>
    </xf>
    <xf numFmtId="0" fontId="81" fillId="7" borderId="0" xfId="11" applyFont="1" applyFill="1" applyBorder="1" applyProtection="1">
      <protection locked="0"/>
    </xf>
    <xf numFmtId="0" fontId="81" fillId="10" borderId="0" xfId="11" applyFont="1" applyFill="1" applyBorder="1" applyProtection="1">
      <protection locked="0"/>
    </xf>
    <xf numFmtId="0" fontId="81" fillId="10" borderId="0" xfId="11" applyFont="1" applyFill="1" applyBorder="1" applyAlignment="1" applyProtection="1">
      <alignment horizontal="right"/>
      <protection locked="0"/>
    </xf>
    <xf numFmtId="0" fontId="81" fillId="10" borderId="0" xfId="11" applyFont="1" applyFill="1" applyBorder="1" applyAlignment="1" applyProtection="1">
      <alignment horizontal="centerContinuous"/>
      <protection locked="0"/>
    </xf>
    <xf numFmtId="0" fontId="81" fillId="10" borderId="65" xfId="8" applyFont="1" applyFill="1" applyBorder="1" applyAlignment="1" applyProtection="1">
      <alignment vertical="top"/>
      <protection locked="0"/>
    </xf>
    <xf numFmtId="0" fontId="81" fillId="10" borderId="65" xfId="8" applyFont="1" applyFill="1" applyBorder="1" applyAlignment="1" applyProtection="1">
      <alignment horizontal="center" shrinkToFit="1"/>
      <protection locked="0"/>
    </xf>
    <xf numFmtId="42" fontId="84" fillId="10" borderId="65" xfId="5" applyNumberFormat="1" applyFont="1" applyFill="1" applyBorder="1" applyProtection="1">
      <protection locked="0"/>
    </xf>
    <xf numFmtId="0" fontId="81" fillId="10" borderId="65" xfId="8" applyFont="1" applyFill="1" applyBorder="1" applyAlignment="1" applyProtection="1">
      <alignment wrapText="1"/>
      <protection locked="0"/>
    </xf>
    <xf numFmtId="0" fontId="83" fillId="10" borderId="67" xfId="8" applyFont="1" applyFill="1" applyBorder="1" applyProtection="1">
      <protection locked="0"/>
    </xf>
    <xf numFmtId="0" fontId="81" fillId="10" borderId="67" xfId="11" applyFont="1" applyFill="1" applyBorder="1" applyAlignment="1" applyProtection="1">
      <alignment horizontal="left"/>
    </xf>
    <xf numFmtId="0" fontId="81" fillId="10" borderId="67" xfId="11" applyFont="1" applyFill="1" applyBorder="1" applyProtection="1">
      <protection locked="0"/>
    </xf>
    <xf numFmtId="0" fontId="81" fillId="10" borderId="67" xfId="11" applyFont="1" applyFill="1" applyBorder="1" applyAlignment="1" applyProtection="1">
      <alignment horizontal="centerContinuous"/>
      <protection locked="0"/>
    </xf>
    <xf numFmtId="0" fontId="81" fillId="10" borderId="70" xfId="8" applyFont="1" applyFill="1" applyBorder="1" applyAlignment="1" applyProtection="1">
      <protection locked="0"/>
    </xf>
    <xf numFmtId="0" fontId="81" fillId="10" borderId="70" xfId="8" applyFont="1" applyFill="1" applyBorder="1" applyAlignment="1" applyProtection="1">
      <alignment wrapText="1"/>
      <protection locked="0"/>
    </xf>
    <xf numFmtId="0" fontId="81" fillId="10" borderId="70" xfId="8" applyFont="1" applyFill="1" applyBorder="1" applyAlignment="1" applyProtection="1">
      <alignment horizontal="left"/>
      <protection locked="0"/>
    </xf>
    <xf numFmtId="0" fontId="81" fillId="10" borderId="70" xfId="11" applyFont="1" applyFill="1" applyBorder="1" applyAlignment="1" applyProtection="1">
      <alignment horizontal="center"/>
      <protection locked="0"/>
    </xf>
    <xf numFmtId="38" fontId="81" fillId="10" borderId="70" xfId="3" applyNumberFormat="1" applyFont="1" applyFill="1" applyBorder="1" applyAlignment="1" applyProtection="1">
      <alignment horizontal="right"/>
      <protection locked="0"/>
    </xf>
    <xf numFmtId="38" fontId="81" fillId="10" borderId="70" xfId="8" applyNumberFormat="1" applyFont="1" applyFill="1" applyBorder="1" applyProtection="1">
      <protection locked="0"/>
    </xf>
    <xf numFmtId="0" fontId="21" fillId="0" borderId="0" xfId="11" applyFont="1" applyBorder="1" applyAlignment="1" applyProtection="1">
      <alignment horizontal="centerContinuous"/>
      <protection locked="0"/>
    </xf>
    <xf numFmtId="5" fontId="13" fillId="0" borderId="0" xfId="11" applyNumberFormat="1" applyFont="1" applyBorder="1" applyAlignment="1" applyProtection="1">
      <alignment horizontal="right"/>
      <protection locked="0" hidden="1"/>
    </xf>
    <xf numFmtId="0" fontId="25" fillId="7" borderId="0" xfId="11" applyFont="1" applyFill="1" applyProtection="1">
      <protection locked="0" hidden="1"/>
    </xf>
    <xf numFmtId="0" fontId="26" fillId="7" borderId="0" xfId="11" applyFont="1" applyFill="1" applyProtection="1">
      <protection locked="0"/>
    </xf>
    <xf numFmtId="0" fontId="2" fillId="7" borderId="0" xfId="11" applyFont="1" applyFill="1" applyBorder="1" applyAlignment="1" applyProtection="1">
      <alignment horizontal="centerContinuous"/>
      <protection locked="0"/>
    </xf>
    <xf numFmtId="37" fontId="8" fillId="7" borderId="0" xfId="11" applyNumberFormat="1" applyFont="1" applyFill="1" applyBorder="1" applyAlignment="1" applyProtection="1">
      <alignment horizontal="centerContinuous"/>
      <protection locked="0"/>
    </xf>
    <xf numFmtId="0" fontId="2" fillId="7" borderId="0" xfId="11" applyFont="1" applyFill="1" applyBorder="1" applyProtection="1">
      <protection locked="0"/>
    </xf>
    <xf numFmtId="37" fontId="13" fillId="7" borderId="0" xfId="11" applyNumberFormat="1" applyFont="1" applyFill="1" applyBorder="1" applyProtection="1"/>
    <xf numFmtId="37" fontId="81" fillId="7" borderId="0" xfId="11" applyNumberFormat="1" applyFont="1" applyFill="1" applyAlignment="1" applyProtection="1">
      <alignment horizontal="right"/>
      <protection locked="0"/>
    </xf>
    <xf numFmtId="37" fontId="13" fillId="7" borderId="0" xfId="11" applyNumberFormat="1" applyFont="1" applyFill="1" applyBorder="1" applyAlignment="1" applyProtection="1">
      <alignment horizontal="fill"/>
      <protection locked="0"/>
    </xf>
    <xf numFmtId="37" fontId="13" fillId="7" borderId="0" xfId="11" applyNumberFormat="1" applyFont="1" applyFill="1" applyBorder="1" applyProtection="1">
      <protection locked="0"/>
    </xf>
    <xf numFmtId="5" fontId="13" fillId="7" borderId="0" xfId="11" applyNumberFormat="1" applyFont="1" applyFill="1" applyBorder="1" applyProtection="1">
      <protection locked="0" hidden="1"/>
    </xf>
    <xf numFmtId="0" fontId="13" fillId="7" borderId="0" xfId="11" applyFont="1" applyFill="1" applyBorder="1" applyProtection="1">
      <protection locked="0"/>
    </xf>
    <xf numFmtId="0" fontId="28" fillId="7" borderId="0" xfId="11" applyFont="1" applyFill="1" applyBorder="1" applyProtection="1">
      <protection locked="0"/>
    </xf>
    <xf numFmtId="7" fontId="81" fillId="10" borderId="0" xfId="11" applyNumberFormat="1" applyFont="1" applyFill="1" applyBorder="1" applyProtection="1">
      <protection locked="0"/>
    </xf>
    <xf numFmtId="37" fontId="81" fillId="10" borderId="0" xfId="11" applyNumberFormat="1" applyFont="1" applyFill="1" applyBorder="1" applyProtection="1">
      <protection locked="0"/>
    </xf>
    <xf numFmtId="5" fontId="81" fillId="10" borderId="0" xfId="11" applyNumberFormat="1" applyFont="1" applyFill="1" applyBorder="1" applyAlignment="1" applyProtection="1">
      <alignment horizontal="fill"/>
      <protection locked="0" hidden="1"/>
    </xf>
    <xf numFmtId="0" fontId="81" fillId="10" borderId="0" xfId="11" applyFont="1" applyFill="1" applyBorder="1" applyProtection="1">
      <protection locked="0" hidden="1"/>
    </xf>
    <xf numFmtId="37" fontId="81" fillId="10" borderId="0" xfId="11" applyNumberFormat="1" applyFont="1" applyFill="1" applyBorder="1" applyAlignment="1" applyProtection="1">
      <alignment horizontal="fill"/>
      <protection locked="0"/>
    </xf>
    <xf numFmtId="5" fontId="81" fillId="10" borderId="0" xfId="11" applyNumberFormat="1" applyFont="1" applyFill="1" applyBorder="1" applyProtection="1">
      <protection locked="0" hidden="1"/>
    </xf>
    <xf numFmtId="10" fontId="81" fillId="10" borderId="2" xfId="11" applyNumberFormat="1" applyFont="1" applyFill="1" applyBorder="1" applyProtection="1"/>
    <xf numFmtId="0" fontId="81" fillId="10" borderId="0" xfId="8" applyFont="1" applyFill="1" applyBorder="1" applyAlignment="1" applyProtection="1">
      <alignment horizontal="right"/>
      <protection locked="0"/>
    </xf>
    <xf numFmtId="37" fontId="81" fillId="8" borderId="3" xfId="11" applyNumberFormat="1" applyFont="1" applyFill="1" applyBorder="1" applyProtection="1">
      <protection locked="0"/>
    </xf>
    <xf numFmtId="37" fontId="81" fillId="8" borderId="4" xfId="11" applyNumberFormat="1" applyFont="1" applyFill="1" applyBorder="1" applyProtection="1">
      <protection locked="0"/>
    </xf>
    <xf numFmtId="37" fontId="81" fillId="8" borderId="0" xfId="11" applyNumberFormat="1" applyFont="1" applyFill="1" applyBorder="1" applyProtection="1">
      <protection locked="0"/>
    </xf>
    <xf numFmtId="37" fontId="81" fillId="8" borderId="5" xfId="11" applyNumberFormat="1" applyFont="1" applyFill="1" applyBorder="1" applyProtection="1">
      <protection locked="0"/>
    </xf>
    <xf numFmtId="37" fontId="81" fillId="8" borderId="6" xfId="11" applyNumberFormat="1" applyFont="1" applyFill="1" applyBorder="1" applyProtection="1">
      <protection locked="0"/>
    </xf>
    <xf numFmtId="37" fontId="81" fillId="8" borderId="7" xfId="11" applyNumberFormat="1" applyFont="1" applyFill="1" applyBorder="1" applyProtection="1">
      <protection locked="0"/>
    </xf>
    <xf numFmtId="37" fontId="81" fillId="10" borderId="1" xfId="11" applyNumberFormat="1" applyFont="1" applyFill="1" applyBorder="1" applyProtection="1"/>
    <xf numFmtId="5" fontId="81" fillId="8" borderId="1" xfId="11" applyNumberFormat="1" applyFont="1" applyFill="1" applyBorder="1" applyProtection="1">
      <protection locked="0"/>
    </xf>
    <xf numFmtId="7" fontId="81" fillId="8" borderId="1" xfId="11" applyNumberFormat="1" applyFont="1" applyFill="1" applyBorder="1" applyProtection="1">
      <protection locked="0"/>
    </xf>
    <xf numFmtId="0" fontId="2" fillId="10" borderId="0" xfId="11" applyFont="1" applyFill="1" applyBorder="1" applyProtection="1">
      <protection locked="0"/>
    </xf>
    <xf numFmtId="0" fontId="84" fillId="10" borderId="0" xfId="11" applyFont="1" applyFill="1" applyBorder="1" applyAlignment="1" applyProtection="1">
      <alignment horizontal="right"/>
      <protection locked="0"/>
    </xf>
    <xf numFmtId="37" fontId="81" fillId="10" borderId="0" xfId="11" applyNumberFormat="1" applyFont="1" applyFill="1" applyBorder="1" applyAlignment="1" applyProtection="1">
      <alignment horizontal="right"/>
      <protection locked="0" hidden="1"/>
    </xf>
    <xf numFmtId="0" fontId="83" fillId="10" borderId="0" xfId="11" applyFont="1" applyFill="1" applyBorder="1" applyAlignment="1" applyProtection="1">
      <alignment horizontal="right"/>
      <protection locked="0"/>
    </xf>
    <xf numFmtId="0" fontId="83" fillId="10" borderId="3" xfId="11" applyFont="1" applyFill="1" applyBorder="1" applyAlignment="1" applyProtection="1">
      <alignment horizontal="center"/>
      <protection locked="0"/>
    </xf>
    <xf numFmtId="0" fontId="83" fillId="10" borderId="0" xfId="11" applyFont="1" applyFill="1" applyBorder="1" applyAlignment="1" applyProtection="1">
      <alignment horizontal="center"/>
      <protection locked="0"/>
    </xf>
    <xf numFmtId="37" fontId="83" fillId="10" borderId="3" xfId="11" applyNumberFormat="1" applyFont="1" applyFill="1" applyBorder="1" applyAlignment="1" applyProtection="1">
      <alignment horizontal="right"/>
      <protection locked="0" hidden="1"/>
    </xf>
    <xf numFmtId="37" fontId="83" fillId="10" borderId="0" xfId="11" applyNumberFormat="1" applyFont="1" applyFill="1" applyBorder="1" applyAlignment="1" applyProtection="1">
      <alignment horizontal="left"/>
      <protection locked="0"/>
    </xf>
    <xf numFmtId="37" fontId="81" fillId="10" borderId="0" xfId="11" applyNumberFormat="1" applyFont="1" applyFill="1" applyBorder="1" applyAlignment="1" applyProtection="1">
      <alignment horizontal="left"/>
      <protection locked="0"/>
    </xf>
    <xf numFmtId="0" fontId="83" fillId="10" borderId="0" xfId="11" applyFont="1" applyFill="1" applyBorder="1" applyAlignment="1" applyProtection="1">
      <alignment horizontal="centerContinuous"/>
      <protection locked="0"/>
    </xf>
    <xf numFmtId="0" fontId="83" fillId="10" borderId="0" xfId="11" applyFont="1" applyFill="1" applyBorder="1" applyAlignment="1" applyProtection="1">
      <alignment horizontal="centerContinuous" wrapText="1"/>
      <protection locked="0"/>
    </xf>
    <xf numFmtId="37" fontId="83" fillId="10" borderId="0" xfId="11" applyNumberFormat="1" applyFont="1" applyFill="1" applyBorder="1" applyAlignment="1" applyProtection="1">
      <alignment horizontal="left" wrapText="1"/>
      <protection locked="0"/>
    </xf>
    <xf numFmtId="0" fontId="83" fillId="10" borderId="0" xfId="8" applyFont="1" applyFill="1" applyBorder="1" applyAlignment="1" applyProtection="1">
      <alignment horizontal="right"/>
      <protection locked="0"/>
    </xf>
    <xf numFmtId="0" fontId="9" fillId="7" borderId="0" xfId="11" applyNumberFormat="1" applyFont="1" applyFill="1" applyAlignment="1" applyProtection="1">
      <protection hidden="1"/>
    </xf>
    <xf numFmtId="0" fontId="3" fillId="7" borderId="0" xfId="8" applyNumberFormat="1" applyFont="1" applyFill="1" applyAlignment="1" applyProtection="1">
      <protection hidden="1"/>
    </xf>
    <xf numFmtId="0" fontId="1" fillId="7" borderId="0" xfId="8" applyFill="1" applyAlignment="1" applyProtection="1"/>
    <xf numFmtId="37" fontId="9" fillId="7" borderId="0" xfId="11" applyNumberFormat="1" applyFont="1" applyFill="1" applyAlignment="1" applyProtection="1">
      <protection locked="0"/>
    </xf>
    <xf numFmtId="0" fontId="1" fillId="7" borderId="0" xfId="8" applyFill="1" applyAlignment="1" applyProtection="1">
      <protection locked="0"/>
    </xf>
    <xf numFmtId="0" fontId="83" fillId="7" borderId="0" xfId="11" applyNumberFormat="1" applyFont="1" applyFill="1" applyAlignment="1" applyProtection="1">
      <alignment horizontal="center"/>
      <protection hidden="1"/>
    </xf>
    <xf numFmtId="173" fontId="81" fillId="10" borderId="8" xfId="4" applyNumberFormat="1" applyFont="1" applyFill="1" applyBorder="1" applyProtection="1"/>
    <xf numFmtId="0" fontId="2" fillId="10" borderId="65" xfId="11" applyFont="1" applyFill="1" applyBorder="1" applyProtection="1">
      <protection locked="0"/>
    </xf>
    <xf numFmtId="0" fontId="2" fillId="10" borderId="66" xfId="11" applyFont="1" applyFill="1" applyBorder="1" applyProtection="1">
      <protection locked="0"/>
    </xf>
    <xf numFmtId="37" fontId="83" fillId="10" borderId="0" xfId="11" applyNumberFormat="1" applyFont="1" applyFill="1" applyBorder="1" applyAlignment="1" applyProtection="1">
      <alignment horizontal="right"/>
      <protection locked="0"/>
    </xf>
    <xf numFmtId="0" fontId="2" fillId="10" borderId="68" xfId="11" applyFont="1" applyFill="1" applyBorder="1" applyProtection="1">
      <protection locked="0"/>
    </xf>
    <xf numFmtId="0" fontId="2" fillId="10" borderId="67" xfId="11" applyFont="1" applyFill="1" applyBorder="1" applyProtection="1">
      <protection locked="0"/>
    </xf>
    <xf numFmtId="0" fontId="2" fillId="10" borderId="69" xfId="11" applyFont="1" applyFill="1" applyBorder="1" applyProtection="1">
      <protection locked="0"/>
    </xf>
    <xf numFmtId="0" fontId="2" fillId="10" borderId="70" xfId="11" applyFont="1" applyFill="1" applyBorder="1" applyProtection="1">
      <protection locked="0"/>
    </xf>
    <xf numFmtId="0" fontId="2" fillId="10" borderId="71" xfId="11" applyFont="1" applyFill="1" applyBorder="1" applyProtection="1">
      <protection locked="0"/>
    </xf>
    <xf numFmtId="0" fontId="83" fillId="8" borderId="9" xfId="11" applyFont="1" applyFill="1" applyBorder="1" applyAlignment="1" applyProtection="1">
      <alignment horizontal="center"/>
    </xf>
    <xf numFmtId="0" fontId="83" fillId="10" borderId="0" xfId="11" applyFont="1" applyFill="1" applyBorder="1" applyAlignment="1" applyProtection="1">
      <alignment horizontal="center" wrapText="1"/>
      <protection locked="0"/>
    </xf>
    <xf numFmtId="37" fontId="83" fillId="10" borderId="0" xfId="11" applyNumberFormat="1" applyFont="1" applyFill="1" applyBorder="1" applyAlignment="1" applyProtection="1">
      <alignment horizontal="center"/>
      <protection locked="0"/>
    </xf>
    <xf numFmtId="37" fontId="83" fillId="10" borderId="0" xfId="11" applyNumberFormat="1" applyFont="1" applyFill="1" applyBorder="1" applyAlignment="1" applyProtection="1">
      <alignment horizontal="center" wrapText="1"/>
      <protection locked="0"/>
    </xf>
    <xf numFmtId="0" fontId="2" fillId="11" borderId="72" xfId="11" applyFont="1" applyFill="1" applyBorder="1" applyProtection="1">
      <protection locked="0"/>
    </xf>
    <xf numFmtId="0" fontId="2" fillId="11" borderId="73" xfId="11" applyFont="1" applyFill="1" applyBorder="1" applyProtection="1">
      <protection locked="0"/>
    </xf>
    <xf numFmtId="0" fontId="2" fillId="11" borderId="74" xfId="11" applyFont="1" applyFill="1" applyBorder="1" applyProtection="1">
      <protection locked="0"/>
    </xf>
    <xf numFmtId="0" fontId="81" fillId="11" borderId="75" xfId="11" applyFont="1" applyFill="1" applyBorder="1" applyProtection="1">
      <protection locked="0"/>
    </xf>
    <xf numFmtId="0" fontId="81" fillId="11" borderId="0" xfId="11" applyFont="1" applyFill="1" applyBorder="1" applyProtection="1">
      <protection locked="0"/>
    </xf>
    <xf numFmtId="0" fontId="83" fillId="11" borderId="0" xfId="8" applyFont="1" applyFill="1" applyBorder="1" applyAlignment="1" applyProtection="1">
      <alignment horizontal="right"/>
      <protection locked="0"/>
    </xf>
    <xf numFmtId="0" fontId="81" fillId="11" borderId="0" xfId="8" applyFont="1" applyFill="1" applyBorder="1" applyAlignment="1" applyProtection="1">
      <alignment horizontal="right"/>
      <protection locked="0"/>
    </xf>
    <xf numFmtId="37" fontId="83" fillId="11" borderId="0" xfId="11" applyNumberFormat="1" applyFont="1" applyFill="1" applyBorder="1" applyAlignment="1" applyProtection="1">
      <alignment horizontal="left"/>
      <protection locked="0"/>
    </xf>
    <xf numFmtId="37" fontId="83" fillId="11" borderId="0" xfId="11" applyNumberFormat="1" applyFont="1" applyFill="1" applyBorder="1" applyAlignment="1" applyProtection="1">
      <alignment horizontal="right"/>
      <protection locked="0"/>
    </xf>
    <xf numFmtId="164" fontId="81" fillId="11" borderId="0" xfId="11" applyNumberFormat="1" applyFont="1" applyFill="1" applyBorder="1" applyAlignment="1" applyProtection="1">
      <protection locked="0"/>
    </xf>
    <xf numFmtId="0" fontId="2" fillId="11" borderId="76" xfId="11" applyFont="1" applyFill="1" applyBorder="1" applyProtection="1">
      <protection locked="0"/>
    </xf>
    <xf numFmtId="0" fontId="81" fillId="11" borderId="76" xfId="11" applyFont="1" applyFill="1" applyBorder="1" applyProtection="1">
      <protection locked="0"/>
    </xf>
    <xf numFmtId="0" fontId="81" fillId="11" borderId="0" xfId="11" applyFont="1" applyFill="1" applyBorder="1" applyAlignment="1" applyProtection="1">
      <alignment horizontal="centerContinuous"/>
      <protection locked="0"/>
    </xf>
    <xf numFmtId="37" fontId="83" fillId="11" borderId="0" xfId="11" applyNumberFormat="1" applyFont="1" applyFill="1" applyBorder="1" applyAlignment="1" applyProtection="1">
      <alignment horizontal="center"/>
      <protection locked="0"/>
    </xf>
    <xf numFmtId="0" fontId="83" fillId="11" borderId="0" xfId="11" applyFont="1" applyFill="1" applyBorder="1" applyAlignment="1" applyProtection="1">
      <alignment horizontal="center" wrapText="1"/>
      <protection locked="0"/>
    </xf>
    <xf numFmtId="0" fontId="83" fillId="11" borderId="0" xfId="11" applyFont="1" applyFill="1" applyBorder="1" applyAlignment="1" applyProtection="1">
      <alignment horizontal="center"/>
      <protection locked="0"/>
    </xf>
    <xf numFmtId="37" fontId="83" fillId="11" borderId="0" xfId="11" applyNumberFormat="1" applyFont="1" applyFill="1" applyBorder="1" applyAlignment="1" applyProtection="1">
      <alignment horizontal="center" wrapText="1"/>
      <protection locked="0"/>
    </xf>
    <xf numFmtId="37" fontId="81" fillId="11" borderId="0" xfId="11" applyNumberFormat="1" applyFont="1" applyFill="1" applyBorder="1" applyAlignment="1" applyProtection="1">
      <alignment horizontal="left"/>
      <protection locked="0"/>
    </xf>
    <xf numFmtId="0" fontId="84" fillId="11" borderId="76" xfId="11" applyFont="1" applyFill="1" applyBorder="1" applyAlignment="1" applyProtection="1">
      <alignment horizontal="centerContinuous"/>
      <protection locked="0"/>
    </xf>
    <xf numFmtId="0" fontId="83" fillId="11" borderId="3" xfId="11" applyFont="1" applyFill="1" applyBorder="1" applyAlignment="1" applyProtection="1">
      <alignment horizontal="center"/>
      <protection locked="0"/>
    </xf>
    <xf numFmtId="0" fontId="81" fillId="11" borderId="0" xfId="11" applyFont="1" applyFill="1" applyBorder="1" applyAlignment="1" applyProtection="1">
      <alignment horizontal="left"/>
      <protection locked="0"/>
    </xf>
    <xf numFmtId="0" fontId="2" fillId="11" borderId="0" xfId="11" applyFont="1" applyFill="1" applyBorder="1" applyProtection="1">
      <protection locked="0"/>
    </xf>
    <xf numFmtId="0" fontId="2" fillId="11" borderId="75" xfId="11" applyFont="1" applyFill="1" applyBorder="1" applyProtection="1">
      <protection locked="0"/>
    </xf>
    <xf numFmtId="0" fontId="81" fillId="11" borderId="0" xfId="11" applyFont="1" applyFill="1" applyBorder="1" applyAlignment="1" applyProtection="1">
      <alignment horizontal="right"/>
      <protection locked="0"/>
    </xf>
    <xf numFmtId="7" fontId="81" fillId="11" borderId="0" xfId="11" applyNumberFormat="1" applyFont="1" applyFill="1" applyBorder="1" applyProtection="1">
      <protection locked="0"/>
    </xf>
    <xf numFmtId="37" fontId="81" fillId="11" borderId="1" xfId="11" applyNumberFormat="1" applyFont="1" applyFill="1" applyBorder="1" applyProtection="1"/>
    <xf numFmtId="5" fontId="81" fillId="11" borderId="76" xfId="11" applyNumberFormat="1" applyFont="1" applyFill="1" applyBorder="1" applyProtection="1"/>
    <xf numFmtId="0" fontId="83" fillId="11" borderId="0" xfId="11" applyFont="1" applyFill="1" applyBorder="1" applyAlignment="1" applyProtection="1">
      <alignment horizontal="right"/>
      <protection locked="0"/>
    </xf>
    <xf numFmtId="0" fontId="83" fillId="11" borderId="0" xfId="11" applyFont="1" applyFill="1" applyBorder="1" applyAlignment="1" applyProtection="1">
      <alignment horizontal="centerContinuous" wrapText="1"/>
      <protection locked="0"/>
    </xf>
    <xf numFmtId="0" fontId="83" fillId="11" borderId="0" xfId="11" applyFont="1" applyFill="1" applyBorder="1" applyAlignment="1" applyProtection="1">
      <alignment horizontal="centerContinuous"/>
      <protection locked="0"/>
    </xf>
    <xf numFmtId="37" fontId="83" fillId="11" borderId="0" xfId="11" applyNumberFormat="1" applyFont="1" applyFill="1" applyBorder="1" applyAlignment="1" applyProtection="1">
      <alignment horizontal="left" wrapText="1"/>
      <protection locked="0"/>
    </xf>
    <xf numFmtId="0" fontId="81" fillId="11" borderId="0" xfId="11" applyFont="1" applyFill="1" applyBorder="1" applyAlignment="1" applyProtection="1">
      <alignment horizontal="center"/>
      <protection locked="0"/>
    </xf>
    <xf numFmtId="37" fontId="81" fillId="11" borderId="0" xfId="11" applyNumberFormat="1" applyFont="1" applyFill="1" applyBorder="1" applyAlignment="1" applyProtection="1">
      <alignment horizontal="right"/>
      <protection locked="0" hidden="1"/>
    </xf>
    <xf numFmtId="5" fontId="81" fillId="11" borderId="76" xfId="11" applyNumberFormat="1" applyFont="1" applyFill="1" applyBorder="1" applyAlignment="1" applyProtection="1">
      <alignment horizontal="right"/>
      <protection locked="0" hidden="1"/>
    </xf>
    <xf numFmtId="0" fontId="84" fillId="11" borderId="0" xfId="11" applyFont="1" applyFill="1" applyBorder="1" applyAlignment="1" applyProtection="1">
      <alignment horizontal="right"/>
      <protection locked="0"/>
    </xf>
    <xf numFmtId="37" fontId="83" fillId="11" borderId="3" xfId="11" applyNumberFormat="1" applyFont="1" applyFill="1" applyBorder="1" applyAlignment="1" applyProtection="1">
      <alignment horizontal="right"/>
      <protection locked="0" hidden="1"/>
    </xf>
    <xf numFmtId="5" fontId="84" fillId="11" borderId="76" xfId="11" applyNumberFormat="1" applyFont="1" applyFill="1" applyBorder="1" applyAlignment="1" applyProtection="1">
      <alignment horizontal="right"/>
      <protection locked="0" hidden="1"/>
    </xf>
    <xf numFmtId="0" fontId="81" fillId="11" borderId="0" xfId="11" applyFont="1" applyFill="1" applyBorder="1" applyProtection="1">
      <protection locked="0" hidden="1"/>
    </xf>
    <xf numFmtId="0" fontId="81" fillId="11" borderId="76" xfId="11" applyFont="1" applyFill="1" applyBorder="1" applyProtection="1">
      <protection locked="0" hidden="1"/>
    </xf>
    <xf numFmtId="37" fontId="81" fillId="11" borderId="0" xfId="11" applyNumberFormat="1" applyFont="1" applyFill="1" applyBorder="1" applyProtection="1">
      <protection locked="0"/>
    </xf>
    <xf numFmtId="37" fontId="81" fillId="11" borderId="3" xfId="11" applyNumberFormat="1" applyFont="1" applyFill="1" applyBorder="1" applyProtection="1">
      <protection locked="0"/>
    </xf>
    <xf numFmtId="37" fontId="81" fillId="11" borderId="0" xfId="11" applyNumberFormat="1" applyFont="1" applyFill="1" applyBorder="1" applyAlignment="1" applyProtection="1">
      <alignment horizontal="fill"/>
      <protection locked="0"/>
    </xf>
    <xf numFmtId="37" fontId="81" fillId="11" borderId="76" xfId="11" applyNumberFormat="1" applyFont="1" applyFill="1" applyBorder="1" applyAlignment="1" applyProtection="1">
      <alignment horizontal="fill"/>
      <protection locked="0"/>
    </xf>
    <xf numFmtId="173" fontId="81" fillId="11" borderId="8" xfId="4" applyNumberFormat="1" applyFont="1" applyFill="1" applyBorder="1" applyProtection="1"/>
    <xf numFmtId="5" fontId="81" fillId="11" borderId="76" xfId="11" applyNumberFormat="1" applyFont="1" applyFill="1" applyBorder="1" applyProtection="1">
      <protection locked="0" hidden="1"/>
    </xf>
    <xf numFmtId="5" fontId="81" fillId="11" borderId="0" xfId="11" applyNumberFormat="1" applyFont="1" applyFill="1" applyBorder="1" applyProtection="1">
      <protection locked="0" hidden="1"/>
    </xf>
    <xf numFmtId="5" fontId="81" fillId="11" borderId="76" xfId="11" applyNumberFormat="1" applyFont="1" applyFill="1" applyBorder="1" applyProtection="1">
      <protection locked="0"/>
    </xf>
    <xf numFmtId="5" fontId="81" fillId="11" borderId="0" xfId="11" applyNumberFormat="1" applyFont="1" applyFill="1" applyBorder="1" applyAlignment="1" applyProtection="1">
      <alignment horizontal="fill"/>
      <protection locked="0" hidden="1"/>
    </xf>
    <xf numFmtId="5" fontId="81" fillId="11" borderId="76" xfId="11" applyNumberFormat="1" applyFont="1" applyFill="1" applyBorder="1" applyAlignment="1" applyProtection="1">
      <alignment horizontal="fill"/>
      <protection locked="0"/>
    </xf>
    <xf numFmtId="37" fontId="81" fillId="11" borderId="76" xfId="11" applyNumberFormat="1" applyFont="1" applyFill="1" applyBorder="1" applyProtection="1">
      <protection locked="0"/>
    </xf>
    <xf numFmtId="5" fontId="81" fillId="11" borderId="2" xfId="11" applyNumberFormat="1" applyFont="1" applyFill="1" applyBorder="1" applyProtection="1"/>
    <xf numFmtId="10" fontId="81" fillId="11" borderId="76" xfId="11" applyNumberFormat="1" applyFont="1" applyFill="1" applyBorder="1" applyProtection="1"/>
    <xf numFmtId="0" fontId="2" fillId="11" borderId="77" xfId="11" applyFont="1" applyFill="1" applyBorder="1" applyProtection="1">
      <protection locked="0"/>
    </xf>
    <xf numFmtId="0" fontId="2" fillId="11" borderId="78" xfId="11" applyFont="1" applyFill="1" applyBorder="1" applyProtection="1">
      <protection locked="0"/>
    </xf>
    <xf numFmtId="0" fontId="2" fillId="11" borderId="79" xfId="11" applyFont="1" applyFill="1" applyBorder="1" applyProtection="1">
      <protection locked="0"/>
    </xf>
    <xf numFmtId="5" fontId="81" fillId="11" borderId="0" xfId="11" applyNumberFormat="1" applyFont="1" applyFill="1" applyBorder="1" applyProtection="1">
      <protection locked="0"/>
    </xf>
    <xf numFmtId="5" fontId="81" fillId="11" borderId="0" xfId="11" applyNumberFormat="1" applyFont="1" applyFill="1" applyBorder="1" applyProtection="1"/>
    <xf numFmtId="10" fontId="81" fillId="11" borderId="0" xfId="11" applyNumberFormat="1" applyFont="1" applyFill="1" applyBorder="1" applyProtection="1"/>
    <xf numFmtId="0" fontId="2" fillId="11" borderId="0" xfId="11" applyFont="1" applyFill="1" applyProtection="1">
      <protection locked="0"/>
    </xf>
    <xf numFmtId="0" fontId="81" fillId="11" borderId="3" xfId="11" applyFont="1" applyFill="1" applyBorder="1" applyProtection="1">
      <protection locked="0"/>
    </xf>
    <xf numFmtId="0" fontId="83" fillId="11" borderId="3" xfId="11" applyFont="1" applyFill="1" applyBorder="1" applyAlignment="1" applyProtection="1">
      <alignment horizontal="right"/>
      <protection locked="0"/>
    </xf>
    <xf numFmtId="0" fontId="81" fillId="8" borderId="1" xfId="11" applyFont="1" applyFill="1" applyBorder="1" applyProtection="1">
      <protection locked="0"/>
    </xf>
    <xf numFmtId="0" fontId="2" fillId="7" borderId="0" xfId="8" applyFont="1" applyFill="1" applyProtection="1">
      <protection locked="0"/>
    </xf>
    <xf numFmtId="0" fontId="9" fillId="7" borderId="0" xfId="8" applyFont="1" applyFill="1" applyAlignment="1" applyProtection="1">
      <alignment horizontal="center"/>
      <protection locked="0"/>
    </xf>
    <xf numFmtId="0" fontId="13" fillId="7" borderId="0" xfId="8" applyFont="1" applyFill="1" applyProtection="1">
      <protection locked="0"/>
    </xf>
    <xf numFmtId="0" fontId="13" fillId="7" borderId="0" xfId="8" applyFont="1" applyFill="1" applyAlignment="1" applyProtection="1">
      <alignment horizontal="left"/>
      <protection locked="0"/>
    </xf>
    <xf numFmtId="0" fontId="3" fillId="7" borderId="0" xfId="8" applyFont="1" applyFill="1" applyAlignment="1" applyProtection="1">
      <alignment horizontal="right" vertical="top" wrapText="1"/>
      <protection locked="0"/>
    </xf>
    <xf numFmtId="0" fontId="2" fillId="7" borderId="0" xfId="8" applyFont="1" applyFill="1" applyBorder="1" applyAlignment="1" applyProtection="1">
      <alignment horizontal="right"/>
      <protection locked="0"/>
    </xf>
    <xf numFmtId="0" fontId="2" fillId="7" borderId="0" xfId="8" applyFont="1" applyFill="1" applyBorder="1" applyProtection="1">
      <protection locked="0"/>
    </xf>
    <xf numFmtId="37" fontId="13" fillId="7" borderId="0" xfId="8" applyNumberFormat="1" applyFont="1" applyFill="1" applyBorder="1" applyAlignment="1" applyProtection="1">
      <alignment horizontal="centerContinuous"/>
      <protection locked="0"/>
    </xf>
    <xf numFmtId="0" fontId="2" fillId="7" borderId="0" xfId="8" applyFont="1" applyFill="1" applyBorder="1" applyAlignment="1" applyProtection="1">
      <alignment horizontal="centerContinuous"/>
      <protection locked="0"/>
    </xf>
    <xf numFmtId="0" fontId="2" fillId="7" borderId="0" xfId="8" applyFont="1" applyFill="1" applyAlignment="1" applyProtection="1">
      <alignment horizontal="left"/>
      <protection locked="0"/>
    </xf>
    <xf numFmtId="0" fontId="9" fillId="7" borderId="0" xfId="11" applyFont="1" applyFill="1" applyBorder="1" applyProtection="1">
      <protection locked="0"/>
    </xf>
    <xf numFmtId="0" fontId="24" fillId="7" borderId="0" xfId="8" applyFont="1" applyFill="1" applyBorder="1" applyProtection="1">
      <protection locked="0"/>
    </xf>
    <xf numFmtId="0" fontId="1" fillId="7" borderId="0" xfId="8" applyFont="1" applyFill="1" applyProtection="1">
      <protection locked="0"/>
    </xf>
    <xf numFmtId="0" fontId="1" fillId="7" borderId="0" xfId="8" applyFont="1" applyFill="1" applyAlignment="1" applyProtection="1">
      <alignment horizontal="right"/>
      <protection locked="0"/>
    </xf>
    <xf numFmtId="0" fontId="1" fillId="7" borderId="0" xfId="8" applyFont="1" applyFill="1" applyBorder="1" applyAlignment="1" applyProtection="1">
      <alignment horizontal="right"/>
      <protection locked="0"/>
    </xf>
    <xf numFmtId="0" fontId="1" fillId="7" borderId="0" xfId="8" applyFont="1" applyFill="1" applyBorder="1" applyProtection="1">
      <protection locked="0"/>
    </xf>
    <xf numFmtId="0" fontId="21" fillId="7" borderId="0" xfId="8" applyFont="1" applyFill="1" applyBorder="1" applyAlignment="1" applyProtection="1">
      <alignment horizontal="left"/>
      <protection locked="0"/>
    </xf>
    <xf numFmtId="0" fontId="3" fillId="7" borderId="0" xfId="8" applyFont="1" applyFill="1" applyBorder="1" applyAlignment="1" applyProtection="1">
      <alignment horizontal="center"/>
      <protection locked="0"/>
    </xf>
    <xf numFmtId="0" fontId="1" fillId="7" borderId="0" xfId="8" applyFont="1" applyFill="1" applyBorder="1" applyAlignment="1" applyProtection="1">
      <protection locked="0"/>
    </xf>
    <xf numFmtId="0" fontId="1" fillId="7" borderId="0" xfId="8" applyFont="1" applyFill="1" applyBorder="1" applyAlignment="1" applyProtection="1">
      <alignment horizontal="center"/>
      <protection locked="0"/>
    </xf>
    <xf numFmtId="0" fontId="1" fillId="7" borderId="0" xfId="8" applyFont="1" applyFill="1" applyBorder="1" applyAlignment="1" applyProtection="1">
      <alignment horizontal="left"/>
      <protection locked="0"/>
    </xf>
    <xf numFmtId="0" fontId="1" fillId="10" borderId="0" xfId="8" applyFont="1" applyFill="1" applyProtection="1">
      <protection locked="0"/>
    </xf>
    <xf numFmtId="0" fontId="1" fillId="10" borderId="0" xfId="8" applyFont="1" applyFill="1" applyAlignment="1" applyProtection="1">
      <protection locked="0"/>
    </xf>
    <xf numFmtId="0" fontId="2" fillId="10" borderId="0" xfId="8" applyFont="1" applyFill="1" applyProtection="1">
      <protection locked="0"/>
    </xf>
    <xf numFmtId="0" fontId="24" fillId="10" borderId="0" xfId="8" applyFont="1" applyFill="1" applyBorder="1" applyProtection="1">
      <protection locked="0"/>
    </xf>
    <xf numFmtId="0" fontId="1" fillId="10" borderId="0" xfId="8" applyFont="1" applyFill="1" applyBorder="1" applyAlignment="1" applyProtection="1">
      <alignment horizontal="right"/>
      <protection locked="0"/>
    </xf>
    <xf numFmtId="0" fontId="1" fillId="10" borderId="0" xfId="8" applyFont="1" applyFill="1" applyBorder="1" applyProtection="1">
      <protection locked="0"/>
    </xf>
    <xf numFmtId="166" fontId="1" fillId="10" borderId="0" xfId="5" applyNumberFormat="1" applyFont="1" applyFill="1" applyBorder="1" applyProtection="1">
      <protection locked="0"/>
    </xf>
    <xf numFmtId="0" fontId="1" fillId="10" borderId="0" xfId="8" applyFont="1" applyFill="1" applyBorder="1" applyAlignment="1" applyProtection="1">
      <alignment horizontal="left"/>
      <protection locked="0"/>
    </xf>
    <xf numFmtId="165" fontId="1" fillId="8" borderId="1" xfId="5" applyNumberFormat="1" applyFont="1" applyFill="1" applyBorder="1" applyProtection="1">
      <protection locked="0"/>
    </xf>
    <xf numFmtId="3" fontId="1" fillId="8" borderId="1" xfId="8" applyNumberFormat="1" applyFont="1" applyFill="1" applyBorder="1" applyProtection="1">
      <protection locked="0"/>
    </xf>
    <xf numFmtId="0" fontId="1" fillId="8" borderId="1" xfId="8" applyFont="1" applyFill="1" applyBorder="1" applyProtection="1">
      <protection locked="0"/>
    </xf>
    <xf numFmtId="166" fontId="1" fillId="8" borderId="1" xfId="5" applyNumberFormat="1" applyFont="1" applyFill="1" applyBorder="1" applyProtection="1">
      <protection locked="0"/>
    </xf>
    <xf numFmtId="0" fontId="1" fillId="10" borderId="64" xfId="8" applyFont="1" applyFill="1" applyBorder="1" applyProtection="1">
      <protection locked="0"/>
    </xf>
    <xf numFmtId="0" fontId="1" fillId="10" borderId="65" xfId="8" applyFont="1" applyFill="1" applyBorder="1" applyProtection="1">
      <protection locked="0"/>
    </xf>
    <xf numFmtId="0" fontId="1" fillId="10" borderId="65" xfId="8" applyFont="1" applyFill="1" applyBorder="1" applyAlignment="1" applyProtection="1">
      <protection locked="0"/>
    </xf>
    <xf numFmtId="0" fontId="2" fillId="10" borderId="66" xfId="8" applyFont="1" applyFill="1" applyBorder="1" applyProtection="1">
      <protection locked="0"/>
    </xf>
    <xf numFmtId="0" fontId="2" fillId="10" borderId="68" xfId="8" applyFont="1" applyFill="1" applyBorder="1" applyProtection="1">
      <protection locked="0"/>
    </xf>
    <xf numFmtId="0" fontId="1" fillId="10" borderId="67" xfId="8" applyFont="1" applyFill="1" applyBorder="1" applyProtection="1">
      <protection locked="0"/>
    </xf>
    <xf numFmtId="0" fontId="3" fillId="10" borderId="67" xfId="8" applyFont="1" applyFill="1" applyBorder="1" applyAlignment="1" applyProtection="1">
      <alignment horizontal="right" vertical="top" wrapText="1"/>
      <protection locked="0"/>
    </xf>
    <xf numFmtId="0" fontId="1" fillId="10" borderId="67" xfId="8" applyFont="1" applyFill="1" applyBorder="1" applyAlignment="1" applyProtection="1">
      <alignment horizontal="right"/>
      <protection locked="0"/>
    </xf>
    <xf numFmtId="0" fontId="1" fillId="10" borderId="69" xfId="8" applyFont="1" applyFill="1" applyBorder="1" applyAlignment="1" applyProtection="1">
      <alignment horizontal="right"/>
      <protection locked="0"/>
    </xf>
    <xf numFmtId="0" fontId="1" fillId="10" borderId="70" xfId="8" applyFont="1" applyFill="1" applyBorder="1" applyProtection="1">
      <protection locked="0"/>
    </xf>
    <xf numFmtId="166" fontId="1" fillId="10" borderId="70" xfId="5" applyNumberFormat="1" applyFont="1" applyFill="1" applyBorder="1" applyProtection="1">
      <protection locked="0"/>
    </xf>
    <xf numFmtId="0" fontId="2" fillId="10" borderId="71" xfId="8" applyFont="1" applyFill="1" applyBorder="1" applyProtection="1">
      <protection locked="0"/>
    </xf>
    <xf numFmtId="0" fontId="1" fillId="0" borderId="0" xfId="8" applyFont="1" applyProtection="1">
      <protection locked="0"/>
    </xf>
    <xf numFmtId="0" fontId="45" fillId="10" borderId="1" xfId="8" applyFont="1" applyFill="1" applyBorder="1" applyProtection="1">
      <protection locked="0"/>
    </xf>
    <xf numFmtId="0" fontId="45" fillId="10" borderId="67" xfId="8" applyFont="1" applyFill="1" applyBorder="1" applyProtection="1">
      <protection locked="0"/>
    </xf>
    <xf numFmtId="0" fontId="45" fillId="10" borderId="67" xfId="8" applyFont="1" applyFill="1" applyBorder="1" applyAlignment="1" applyProtection="1">
      <alignment horizontal="left"/>
      <protection locked="0"/>
    </xf>
    <xf numFmtId="0" fontId="2" fillId="10" borderId="0" xfId="8" applyFont="1" applyFill="1" applyBorder="1" applyProtection="1">
      <protection locked="0"/>
    </xf>
    <xf numFmtId="0" fontId="1" fillId="10" borderId="0" xfId="8" applyFont="1" applyFill="1" applyBorder="1" applyAlignment="1" applyProtection="1">
      <alignment horizontal="centerContinuous"/>
      <protection locked="0"/>
    </xf>
    <xf numFmtId="37" fontId="1" fillId="10" borderId="0" xfId="8" applyNumberFormat="1" applyFont="1" applyFill="1" applyAlignment="1" applyProtection="1">
      <alignment horizontal="center"/>
      <protection locked="0"/>
    </xf>
    <xf numFmtId="5" fontId="1" fillId="10" borderId="2" xfId="8" applyNumberFormat="1" applyFont="1" applyFill="1" applyBorder="1" applyProtection="1"/>
    <xf numFmtId="5" fontId="1" fillId="10" borderId="3" xfId="8" applyNumberFormat="1" applyFont="1" applyFill="1" applyBorder="1" applyProtection="1"/>
    <xf numFmtId="0" fontId="45" fillId="10" borderId="0" xfId="8" applyFont="1" applyFill="1" applyBorder="1" applyProtection="1">
      <protection locked="0"/>
    </xf>
    <xf numFmtId="0" fontId="45" fillId="10" borderId="0" xfId="8" applyFont="1" applyFill="1" applyBorder="1" applyProtection="1"/>
    <xf numFmtId="0" fontId="1" fillId="10" borderId="4" xfId="8" applyFont="1" applyFill="1" applyBorder="1" applyProtection="1">
      <protection locked="0"/>
    </xf>
    <xf numFmtId="0" fontId="1" fillId="10" borderId="10" xfId="8" applyFont="1" applyFill="1" applyBorder="1" applyProtection="1">
      <protection locked="0"/>
    </xf>
    <xf numFmtId="0" fontId="45" fillId="10" borderId="11" xfId="8" applyFont="1" applyFill="1" applyBorder="1" applyProtection="1">
      <protection locked="0"/>
    </xf>
    <xf numFmtId="0" fontId="45" fillId="10" borderId="12" xfId="8" applyFont="1" applyFill="1" applyBorder="1" applyAlignment="1" applyProtection="1">
      <alignment horizontal="center"/>
      <protection locked="0"/>
    </xf>
    <xf numFmtId="0" fontId="45" fillId="10" borderId="12" xfId="8" applyFont="1" applyFill="1" applyBorder="1" applyProtection="1">
      <protection locked="0"/>
    </xf>
    <xf numFmtId="0" fontId="45" fillId="10" borderId="12" xfId="8" applyFont="1" applyFill="1" applyBorder="1" applyProtection="1"/>
    <xf numFmtId="0" fontId="45" fillId="10" borderId="12" xfId="8" applyFont="1" applyFill="1" applyBorder="1" applyAlignment="1" applyProtection="1">
      <alignment horizontal="left"/>
      <protection locked="0"/>
    </xf>
    <xf numFmtId="0" fontId="45" fillId="10" borderId="13" xfId="8" applyFont="1" applyFill="1" applyBorder="1" applyAlignment="1" applyProtection="1">
      <alignment horizontal="left"/>
      <protection locked="0"/>
    </xf>
    <xf numFmtId="0" fontId="1" fillId="10" borderId="0" xfId="8" applyFont="1" applyFill="1" applyBorder="1" applyAlignment="1" applyProtection="1">
      <alignment horizontal="center"/>
      <protection locked="0"/>
    </xf>
    <xf numFmtId="0" fontId="1" fillId="10" borderId="0" xfId="8" applyFont="1" applyFill="1" applyBorder="1" applyAlignment="1" applyProtection="1">
      <alignment horizontal="fill"/>
      <protection locked="0"/>
    </xf>
    <xf numFmtId="0" fontId="24" fillId="10" borderId="0" xfId="8" applyFont="1" applyFill="1" applyBorder="1" applyAlignment="1" applyProtection="1">
      <alignment horizontal="centerContinuous"/>
      <protection locked="0"/>
    </xf>
    <xf numFmtId="0" fontId="3" fillId="10" borderId="1" xfId="8" applyFont="1" applyFill="1" applyBorder="1" applyAlignment="1" applyProtection="1">
      <alignment horizontal="right"/>
      <protection locked="0"/>
    </xf>
    <xf numFmtId="5" fontId="1" fillId="10" borderId="0" xfId="8" applyNumberFormat="1" applyFont="1" applyFill="1" applyBorder="1" applyProtection="1">
      <protection locked="0"/>
    </xf>
    <xf numFmtId="0" fontId="9" fillId="10" borderId="0" xfId="11" applyFont="1" applyFill="1" applyBorder="1" applyProtection="1">
      <protection locked="0"/>
    </xf>
    <xf numFmtId="5" fontId="1" fillId="10" borderId="0" xfId="8" applyNumberFormat="1" applyFont="1" applyFill="1" applyBorder="1" applyAlignment="1" applyProtection="1">
      <alignment horizontal="right"/>
      <protection locked="0"/>
    </xf>
    <xf numFmtId="5" fontId="1" fillId="10" borderId="0" xfId="8" applyNumberFormat="1" applyFont="1" applyFill="1" applyBorder="1" applyAlignment="1" applyProtection="1">
      <alignment horizontal="centerContinuous"/>
      <protection locked="0"/>
    </xf>
    <xf numFmtId="0" fontId="13" fillId="10" borderId="0" xfId="8" applyNumberFormat="1" applyFont="1" applyFill="1" applyBorder="1" applyAlignment="1" applyProtection="1">
      <alignment horizontal="center"/>
      <protection locked="0"/>
    </xf>
    <xf numFmtId="0" fontId="13" fillId="10" borderId="0" xfId="8" applyFont="1" applyFill="1" applyBorder="1" applyAlignment="1" applyProtection="1">
      <alignment horizontal="fill"/>
      <protection locked="0"/>
    </xf>
    <xf numFmtId="0" fontId="9" fillId="10" borderId="64" xfId="11" applyFont="1" applyFill="1" applyBorder="1" applyProtection="1">
      <protection locked="0"/>
    </xf>
    <xf numFmtId="0" fontId="2" fillId="10" borderId="67" xfId="8" applyFont="1" applyFill="1" applyBorder="1" applyProtection="1">
      <protection locked="0"/>
    </xf>
    <xf numFmtId="0" fontId="9" fillId="10" borderId="67" xfId="11" applyFont="1" applyFill="1" applyBorder="1" applyProtection="1">
      <protection locked="0"/>
    </xf>
    <xf numFmtId="0" fontId="2" fillId="10" borderId="69" xfId="8" applyFont="1" applyFill="1" applyBorder="1" applyProtection="1">
      <protection locked="0"/>
    </xf>
    <xf numFmtId="0" fontId="2" fillId="10" borderId="70" xfId="8" applyFont="1" applyFill="1" applyBorder="1" applyProtection="1">
      <protection locked="0"/>
    </xf>
    <xf numFmtId="0" fontId="3" fillId="10" borderId="67" xfId="11" applyFont="1" applyFill="1" applyBorder="1" applyProtection="1">
      <protection locked="0"/>
    </xf>
    <xf numFmtId="0" fontId="3" fillId="8" borderId="1" xfId="8" applyFont="1" applyFill="1" applyBorder="1" applyAlignment="1" applyProtection="1">
      <alignment horizontal="center"/>
    </xf>
    <xf numFmtId="0" fontId="3" fillId="10" borderId="67" xfId="8" applyFont="1" applyFill="1" applyBorder="1" applyProtection="1">
      <protection locked="0"/>
    </xf>
    <xf numFmtId="0" fontId="45" fillId="10" borderId="0" xfId="8" applyFont="1" applyFill="1" applyBorder="1" applyAlignment="1" applyProtection="1">
      <alignment horizontal="center"/>
      <protection locked="0"/>
    </xf>
    <xf numFmtId="7" fontId="45" fillId="8" borderId="7" xfId="8" applyNumberFormat="1" applyFont="1" applyFill="1" applyBorder="1" applyProtection="1">
      <protection locked="0"/>
    </xf>
    <xf numFmtId="7" fontId="45" fillId="8" borderId="1" xfId="8" applyNumberFormat="1" applyFont="1" applyFill="1" applyBorder="1" applyProtection="1">
      <protection locked="0"/>
    </xf>
    <xf numFmtId="37" fontId="45" fillId="10" borderId="0" xfId="8" applyNumberFormat="1" applyFont="1" applyFill="1" applyBorder="1" applyAlignment="1" applyProtection="1">
      <alignment horizontal="fill"/>
      <protection locked="0"/>
    </xf>
    <xf numFmtId="5" fontId="45" fillId="10" borderId="0" xfId="8" applyNumberFormat="1" applyFont="1" applyFill="1" applyBorder="1" applyAlignment="1" applyProtection="1">
      <alignment horizontal="right"/>
      <protection locked="0"/>
    </xf>
    <xf numFmtId="5" fontId="45" fillId="10" borderId="0" xfId="8" applyNumberFormat="1" applyFont="1" applyFill="1" applyBorder="1" applyProtection="1">
      <protection locked="0"/>
    </xf>
    <xf numFmtId="0" fontId="45" fillId="10" borderId="0" xfId="8" applyFont="1" applyFill="1" applyBorder="1" applyAlignment="1" applyProtection="1">
      <alignment horizontal="left"/>
      <protection locked="0"/>
    </xf>
    <xf numFmtId="37" fontId="45" fillId="10" borderId="0" xfId="8" applyNumberFormat="1" applyFont="1" applyFill="1" applyBorder="1" applyProtection="1">
      <protection locked="0"/>
    </xf>
    <xf numFmtId="0" fontId="45" fillId="10" borderId="0" xfId="8" applyFont="1" applyFill="1" applyBorder="1" applyAlignment="1" applyProtection="1">
      <alignment horizontal="centerContinuous"/>
      <protection locked="0"/>
    </xf>
    <xf numFmtId="5" fontId="45" fillId="10" borderId="0" xfId="8" applyNumberFormat="1" applyFont="1" applyFill="1" applyBorder="1" applyAlignment="1" applyProtection="1">
      <alignment horizontal="centerContinuous"/>
      <protection locked="0"/>
    </xf>
    <xf numFmtId="5" fontId="45" fillId="10" borderId="0" xfId="8" applyNumberFormat="1" applyFont="1" applyFill="1" applyBorder="1" applyAlignment="1" applyProtection="1">
      <alignment horizontal="center"/>
      <protection locked="0"/>
    </xf>
    <xf numFmtId="0" fontId="15" fillId="7" borderId="0" xfId="8" applyFont="1" applyFill="1" applyProtection="1">
      <protection locked="0"/>
    </xf>
    <xf numFmtId="0" fontId="15" fillId="7" borderId="0" xfId="8" applyFont="1" applyFill="1" applyAlignment="1" applyProtection="1">
      <alignment horizontal="left"/>
      <protection locked="0"/>
    </xf>
    <xf numFmtId="0" fontId="15" fillId="7" borderId="0" xfId="8" applyFont="1" applyFill="1" applyBorder="1" applyProtection="1">
      <protection locked="0"/>
    </xf>
    <xf numFmtId="0" fontId="17" fillId="7" borderId="0" xfId="8" applyFont="1" applyFill="1" applyAlignment="1" applyProtection="1">
      <alignment horizontal="center"/>
      <protection locked="0"/>
    </xf>
    <xf numFmtId="37" fontId="30" fillId="7" borderId="0" xfId="8" applyNumberFormat="1" applyFont="1" applyFill="1" applyBorder="1" applyAlignment="1" applyProtection="1">
      <alignment horizontal="left"/>
      <protection locked="0"/>
    </xf>
    <xf numFmtId="37" fontId="30" fillId="7" borderId="0" xfId="8" applyNumberFormat="1" applyFont="1" applyFill="1" applyBorder="1" applyAlignment="1" applyProtection="1">
      <alignment horizontal="centerContinuous"/>
      <protection locked="0"/>
    </xf>
    <xf numFmtId="0" fontId="15" fillId="7" borderId="0" xfId="8" applyFont="1" applyFill="1" applyBorder="1" applyAlignment="1" applyProtection="1">
      <alignment horizontal="centerContinuous"/>
      <protection locked="0"/>
    </xf>
    <xf numFmtId="49" fontId="15" fillId="7" borderId="0" xfId="8" applyNumberFormat="1" applyFont="1" applyFill="1" applyAlignment="1" applyProtection="1">
      <alignment horizontal="left"/>
      <protection locked="0"/>
    </xf>
    <xf numFmtId="0" fontId="30" fillId="7" borderId="0" xfId="8" applyFont="1" applyFill="1" applyBorder="1" applyAlignment="1" applyProtection="1">
      <alignment horizontal="left"/>
      <protection locked="0"/>
    </xf>
    <xf numFmtId="0" fontId="30" fillId="7" borderId="0" xfId="8" applyFont="1" applyFill="1" applyAlignment="1" applyProtection="1">
      <alignment horizontal="left"/>
      <protection locked="0"/>
    </xf>
    <xf numFmtId="0" fontId="15" fillId="7" borderId="0" xfId="8" applyFont="1" applyFill="1" applyBorder="1" applyAlignment="1" applyProtection="1">
      <alignment horizontal="left"/>
      <protection locked="0"/>
    </xf>
    <xf numFmtId="0" fontId="4" fillId="7" borderId="0" xfId="8" applyFont="1" applyFill="1" applyBorder="1" applyProtection="1">
      <protection locked="0"/>
    </xf>
    <xf numFmtId="0" fontId="16" fillId="7" borderId="0" xfId="8" applyFont="1" applyFill="1" applyBorder="1" applyAlignment="1" applyProtection="1">
      <alignment horizontal="center"/>
      <protection locked="0"/>
    </xf>
    <xf numFmtId="37" fontId="15" fillId="7" borderId="0" xfId="8" applyNumberFormat="1" applyFont="1" applyFill="1" applyBorder="1" applyAlignment="1" applyProtection="1">
      <alignment horizontal="center"/>
      <protection locked="0"/>
    </xf>
    <xf numFmtId="37" fontId="30" fillId="7" borderId="0" xfId="8" applyNumberFormat="1" applyFont="1" applyFill="1" applyBorder="1" applyAlignment="1" applyProtection="1">
      <alignment horizontal="center"/>
      <protection locked="0"/>
    </xf>
    <xf numFmtId="0" fontId="15" fillId="10" borderId="0" xfId="8" applyFont="1" applyFill="1" applyBorder="1" applyAlignment="1" applyProtection="1">
      <alignment horizontal="centerContinuous"/>
      <protection locked="0"/>
    </xf>
    <xf numFmtId="0" fontId="15" fillId="10" borderId="0" xfId="8" applyFont="1" applyFill="1" applyBorder="1" applyProtection="1">
      <protection locked="0"/>
    </xf>
    <xf numFmtId="0" fontId="30" fillId="10" borderId="0" xfId="8" applyFont="1" applyFill="1" applyBorder="1" applyProtection="1">
      <protection locked="0"/>
    </xf>
    <xf numFmtId="0" fontId="30" fillId="10" borderId="0" xfId="8" applyFont="1" applyFill="1" applyBorder="1" applyAlignment="1" applyProtection="1">
      <alignment horizontal="centerContinuous"/>
      <protection locked="0"/>
    </xf>
    <xf numFmtId="5" fontId="30" fillId="10" borderId="0" xfId="8" applyNumberFormat="1" applyFont="1" applyFill="1" applyBorder="1" applyProtection="1">
      <protection locked="0"/>
    </xf>
    <xf numFmtId="0" fontId="32" fillId="10" borderId="0" xfId="8" applyFont="1" applyFill="1" applyBorder="1" applyAlignment="1" applyProtection="1">
      <alignment horizontal="centerContinuous"/>
      <protection locked="0"/>
    </xf>
    <xf numFmtId="5" fontId="30" fillId="10" borderId="0" xfId="8" applyNumberFormat="1" applyFont="1" applyFill="1" applyBorder="1" applyAlignment="1" applyProtection="1">
      <alignment horizontal="centerContinuous"/>
      <protection locked="0"/>
    </xf>
    <xf numFmtId="0" fontId="15" fillId="10" borderId="0" xfId="8" applyFont="1" applyFill="1" applyBorder="1" applyAlignment="1" applyProtection="1">
      <alignment horizontal="left"/>
      <protection locked="0"/>
    </xf>
    <xf numFmtId="7" fontId="30" fillId="10" borderId="0" xfId="8" applyNumberFormat="1" applyFont="1" applyFill="1" applyBorder="1" applyAlignment="1" applyProtection="1">
      <alignment horizontal="center"/>
      <protection locked="0"/>
    </xf>
    <xf numFmtId="0" fontId="30" fillId="10" borderId="0" xfId="8" applyNumberFormat="1" applyFont="1" applyFill="1" applyBorder="1" applyAlignment="1" applyProtection="1">
      <alignment horizontal="center"/>
      <protection locked="0"/>
    </xf>
    <xf numFmtId="0" fontId="30" fillId="10" borderId="0" xfId="8" applyFont="1" applyFill="1" applyBorder="1" applyAlignment="1" applyProtection="1">
      <alignment horizontal="fill"/>
      <protection locked="0"/>
    </xf>
    <xf numFmtId="0" fontId="30" fillId="10" borderId="14" xfId="8" applyFont="1" applyFill="1" applyBorder="1" applyProtection="1">
      <protection locked="0"/>
    </xf>
    <xf numFmtId="0" fontId="30" fillId="10" borderId="15" xfId="8" applyFont="1" applyFill="1" applyBorder="1" applyProtection="1">
      <protection locked="0"/>
    </xf>
    <xf numFmtId="0" fontId="17" fillId="10" borderId="0" xfId="8" applyFont="1" applyFill="1" applyBorder="1" applyAlignment="1" applyProtection="1">
      <alignment horizontal="left"/>
      <protection locked="0"/>
    </xf>
    <xf numFmtId="0" fontId="15" fillId="10" borderId="0" xfId="8" applyFont="1" applyFill="1" applyBorder="1" applyAlignment="1" applyProtection="1">
      <alignment horizontal="center"/>
      <protection locked="0"/>
    </xf>
    <xf numFmtId="0" fontId="15" fillId="10" borderId="16" xfId="8" applyFont="1" applyFill="1" applyBorder="1" applyProtection="1">
      <protection locked="0"/>
    </xf>
    <xf numFmtId="5" fontId="15" fillId="10" borderId="0" xfId="8" applyNumberFormat="1" applyFont="1" applyFill="1" applyBorder="1" applyAlignment="1" applyProtection="1">
      <alignment horizontal="right"/>
      <protection locked="0"/>
    </xf>
    <xf numFmtId="5" fontId="15" fillId="8" borderId="1" xfId="8" applyNumberFormat="1" applyFont="1" applyFill="1" applyBorder="1" applyProtection="1">
      <protection locked="0"/>
    </xf>
    <xf numFmtId="37" fontId="30" fillId="10" borderId="0" xfId="8" applyNumberFormat="1" applyFont="1" applyFill="1" applyBorder="1" applyProtection="1">
      <protection locked="0"/>
    </xf>
    <xf numFmtId="37" fontId="15" fillId="10" borderId="0" xfId="8" applyNumberFormat="1" applyFont="1" applyFill="1" applyBorder="1" applyAlignment="1" applyProtection="1">
      <alignment horizontal="right"/>
      <protection locked="0"/>
    </xf>
    <xf numFmtId="0" fontId="31" fillId="10" borderId="0" xfId="8" applyFont="1" applyFill="1" applyBorder="1" applyAlignment="1" applyProtection="1">
      <alignment horizontal="right"/>
      <protection locked="0"/>
    </xf>
    <xf numFmtId="5" fontId="30" fillId="10" borderId="0" xfId="8" applyNumberFormat="1" applyFont="1" applyFill="1" applyBorder="1" applyAlignment="1" applyProtection="1">
      <alignment horizontal="center"/>
      <protection locked="0"/>
    </xf>
    <xf numFmtId="0" fontId="15" fillId="10" borderId="0" xfId="8" applyFont="1" applyFill="1" applyBorder="1" applyAlignment="1" applyProtection="1">
      <alignment horizontal="right"/>
      <protection locked="0"/>
    </xf>
    <xf numFmtId="0" fontId="16" fillId="10" borderId="0" xfId="8" applyFont="1" applyFill="1" applyBorder="1" applyProtection="1">
      <protection locked="0"/>
    </xf>
    <xf numFmtId="0" fontId="16" fillId="10" borderId="0" xfId="8" applyFont="1" applyFill="1" applyBorder="1" applyAlignment="1" applyProtection="1">
      <alignment horizontal="left"/>
      <protection locked="0"/>
    </xf>
    <xf numFmtId="5" fontId="15" fillId="10" borderId="0" xfId="8" applyNumberFormat="1" applyFont="1" applyFill="1" applyBorder="1" applyProtection="1"/>
    <xf numFmtId="5" fontId="15" fillId="10" borderId="2" xfId="8" applyNumberFormat="1" applyFont="1" applyFill="1" applyBorder="1" applyProtection="1"/>
    <xf numFmtId="0" fontId="4" fillId="7" borderId="0" xfId="11" applyFont="1" applyFill="1" applyBorder="1" applyProtection="1">
      <protection hidden="1"/>
    </xf>
    <xf numFmtId="37" fontId="13" fillId="7" borderId="0" xfId="8" applyNumberFormat="1" applyFont="1" applyFill="1" applyBorder="1" applyAlignment="1" applyProtection="1">
      <alignment horizontal="center"/>
      <protection locked="0"/>
    </xf>
    <xf numFmtId="0" fontId="22" fillId="7" borderId="0" xfId="8" applyFont="1" applyFill="1" applyAlignment="1" applyProtection="1">
      <alignment horizontal="left"/>
      <protection locked="0"/>
    </xf>
    <xf numFmtId="0" fontId="9" fillId="7" borderId="0" xfId="8" applyNumberFormat="1" applyFont="1" applyFill="1" applyAlignment="1" applyProtection="1">
      <alignment horizontal="center"/>
      <protection locked="0"/>
    </xf>
    <xf numFmtId="0" fontId="3" fillId="7" borderId="0" xfId="8" applyFont="1" applyFill="1" applyBorder="1" applyAlignment="1" applyProtection="1">
      <alignment horizontal="right"/>
      <protection locked="0"/>
    </xf>
    <xf numFmtId="0" fontId="1" fillId="7" borderId="0" xfId="8" applyFont="1" applyFill="1" applyBorder="1" applyProtection="1"/>
    <xf numFmtId="0" fontId="1" fillId="7" borderId="0" xfId="8" applyFont="1" applyFill="1" applyBorder="1" applyAlignment="1" applyProtection="1">
      <alignment horizontal="right"/>
    </xf>
    <xf numFmtId="0" fontId="1" fillId="7" borderId="0" xfId="8" applyFont="1" applyFill="1" applyBorder="1" applyAlignment="1" applyProtection="1">
      <alignment horizontal="fill"/>
    </xf>
    <xf numFmtId="0" fontId="10" fillId="10" borderId="0" xfId="8" applyFont="1" applyFill="1" applyBorder="1" applyProtection="1">
      <protection locked="0"/>
    </xf>
    <xf numFmtId="0" fontId="3" fillId="10" borderId="0" xfId="8" applyFont="1" applyFill="1" applyBorder="1" applyAlignment="1" applyProtection="1">
      <alignment horizontal="center"/>
      <protection locked="0"/>
    </xf>
    <xf numFmtId="0" fontId="45" fillId="8" borderId="7" xfId="8" applyFont="1" applyFill="1" applyBorder="1" applyAlignment="1" applyProtection="1">
      <alignment horizontal="centerContinuous"/>
      <protection locked="0"/>
    </xf>
    <xf numFmtId="0" fontId="45" fillId="10" borderId="0" xfId="8" applyFont="1" applyFill="1" applyBorder="1" applyAlignment="1" applyProtection="1">
      <alignment horizontal="centerContinuous"/>
    </xf>
    <xf numFmtId="7" fontId="45" fillId="8" borderId="7" xfId="8" applyNumberFormat="1" applyFont="1" applyFill="1" applyBorder="1" applyAlignment="1" applyProtection="1">
      <alignment horizontal="right"/>
      <protection locked="0"/>
    </xf>
    <xf numFmtId="0" fontId="45" fillId="8" borderId="1" xfId="8" applyFont="1" applyFill="1" applyBorder="1" applyAlignment="1" applyProtection="1">
      <alignment horizontal="centerContinuous"/>
      <protection locked="0"/>
    </xf>
    <xf numFmtId="7" fontId="45" fillId="8" borderId="1" xfId="8" applyNumberFormat="1" applyFont="1" applyFill="1" applyBorder="1" applyAlignment="1" applyProtection="1">
      <alignment horizontal="right"/>
      <protection locked="0"/>
    </xf>
    <xf numFmtId="5" fontId="45" fillId="10" borderId="0" xfId="8" applyNumberFormat="1" applyFont="1" applyFill="1" applyBorder="1" applyProtection="1"/>
    <xf numFmtId="0" fontId="45" fillId="10" borderId="17" xfId="8" applyNumberFormat="1" applyFont="1" applyFill="1" applyBorder="1" applyAlignment="1" applyProtection="1">
      <alignment horizontal="center"/>
    </xf>
    <xf numFmtId="0" fontId="45" fillId="10" borderId="3" xfId="8" applyNumberFormat="1" applyFont="1" applyFill="1" applyBorder="1" applyAlignment="1" applyProtection="1">
      <alignment horizontal="center"/>
    </xf>
    <xf numFmtId="7" fontId="45" fillId="10" borderId="3" xfId="8" applyNumberFormat="1" applyFont="1" applyFill="1" applyBorder="1" applyAlignment="1" applyProtection="1">
      <alignment horizontal="centerContinuous"/>
      <protection locked="0"/>
    </xf>
    <xf numFmtId="5" fontId="45" fillId="10" borderId="3" xfId="8" applyNumberFormat="1" applyFont="1" applyFill="1" applyBorder="1" applyProtection="1">
      <protection locked="0"/>
    </xf>
    <xf numFmtId="0" fontId="45" fillId="8" borderId="18" xfId="8" applyFont="1" applyFill="1" applyBorder="1" applyAlignment="1" applyProtection="1">
      <alignment horizontal="centerContinuous"/>
      <protection locked="0"/>
    </xf>
    <xf numFmtId="0" fontId="45" fillId="10" borderId="12" xfId="8" applyFont="1" applyFill="1" applyBorder="1" applyAlignment="1" applyProtection="1">
      <alignment horizontal="centerContinuous"/>
    </xf>
    <xf numFmtId="7" fontId="45" fillId="10" borderId="0" xfId="8" applyNumberFormat="1" applyFont="1" applyFill="1" applyBorder="1" applyAlignment="1" applyProtection="1">
      <alignment horizontal="right"/>
    </xf>
    <xf numFmtId="0" fontId="45" fillId="10" borderId="3" xfId="8" applyFont="1" applyFill="1" applyBorder="1" applyProtection="1"/>
    <xf numFmtId="5" fontId="45" fillId="10" borderId="3" xfId="8" applyNumberFormat="1" applyFont="1" applyFill="1" applyBorder="1" applyProtection="1"/>
    <xf numFmtId="9" fontId="45" fillId="8" borderId="1" xfId="12" applyNumberFormat="1" applyFont="1" applyFill="1" applyBorder="1" applyAlignment="1" applyProtection="1">
      <protection locked="0"/>
    </xf>
    <xf numFmtId="0" fontId="2" fillId="10" borderId="65" xfId="8" applyFont="1" applyFill="1" applyBorder="1" applyAlignment="1" applyProtection="1">
      <alignment horizontal="centerContinuous"/>
      <protection locked="0"/>
    </xf>
    <xf numFmtId="0" fontId="24" fillId="10" borderId="65" xfId="8" applyFont="1" applyFill="1" applyBorder="1" applyAlignment="1" applyProtection="1">
      <alignment horizontal="centerContinuous"/>
      <protection locked="0"/>
    </xf>
    <xf numFmtId="0" fontId="2" fillId="10" borderId="65" xfId="8" applyFont="1" applyFill="1" applyBorder="1" applyProtection="1">
      <protection locked="0"/>
    </xf>
    <xf numFmtId="0" fontId="2" fillId="10" borderId="67" xfId="8" applyFont="1" applyFill="1" applyBorder="1" applyAlignment="1" applyProtection="1">
      <alignment horizontal="right"/>
      <protection locked="0"/>
    </xf>
    <xf numFmtId="7" fontId="45" fillId="10" borderId="0" xfId="8" applyNumberFormat="1" applyFont="1" applyFill="1" applyBorder="1" applyProtection="1">
      <protection locked="0"/>
    </xf>
    <xf numFmtId="0" fontId="14" fillId="10" borderId="0" xfId="8" applyFont="1" applyFill="1" applyBorder="1" applyAlignment="1" applyProtection="1">
      <alignment horizontal="right"/>
      <protection locked="0"/>
    </xf>
    <xf numFmtId="0" fontId="13" fillId="7" borderId="0" xfId="11" applyFont="1" applyFill="1" applyAlignment="1" applyProtection="1">
      <alignment horizontal="right"/>
      <protection locked="0"/>
    </xf>
    <xf numFmtId="0" fontId="3" fillId="7" borderId="0" xfId="11" applyFont="1" applyFill="1" applyProtection="1">
      <protection locked="0"/>
    </xf>
    <xf numFmtId="0" fontId="2" fillId="7" borderId="0" xfId="11" applyFont="1" applyFill="1" applyAlignment="1" applyProtection="1">
      <alignment horizontal="centerContinuous"/>
      <protection locked="0"/>
    </xf>
    <xf numFmtId="0" fontId="1" fillId="7" borderId="0" xfId="11" applyFont="1" applyFill="1" applyProtection="1">
      <protection locked="0"/>
    </xf>
    <xf numFmtId="0" fontId="1" fillId="7" borderId="0" xfId="11" applyFont="1" applyFill="1" applyAlignment="1" applyProtection="1">
      <alignment horizontal="right"/>
      <protection locked="0"/>
    </xf>
    <xf numFmtId="0" fontId="1" fillId="7" borderId="0" xfId="11" applyFont="1" applyFill="1" applyAlignment="1" applyProtection="1">
      <alignment horizontal="centerContinuous"/>
      <protection locked="0"/>
    </xf>
    <xf numFmtId="0" fontId="1" fillId="7" borderId="0" xfId="11" applyFont="1" applyFill="1" applyBorder="1" applyProtection="1">
      <protection locked="0"/>
    </xf>
    <xf numFmtId="0" fontId="1" fillId="7" borderId="0" xfId="11" applyFont="1" applyFill="1" applyBorder="1" applyAlignment="1" applyProtection="1">
      <alignment horizontal="center"/>
      <protection locked="0"/>
    </xf>
    <xf numFmtId="0" fontId="1" fillId="7" borderId="0" xfId="11" applyFont="1" applyFill="1" applyAlignment="1" applyProtection="1">
      <alignment horizontal="center"/>
    </xf>
    <xf numFmtId="0" fontId="1" fillId="7" borderId="0" xfId="11" applyFont="1" applyFill="1" applyProtection="1"/>
    <xf numFmtId="37" fontId="1" fillId="8" borderId="1" xfId="11" applyNumberFormat="1" applyFont="1" applyFill="1" applyBorder="1" applyProtection="1">
      <protection locked="0"/>
    </xf>
    <xf numFmtId="0" fontId="1" fillId="10" borderId="0" xfId="11" applyFont="1" applyFill="1" applyBorder="1" applyProtection="1">
      <protection locked="0"/>
    </xf>
    <xf numFmtId="37" fontId="1" fillId="10" borderId="0" xfId="11" applyNumberFormat="1" applyFont="1" applyFill="1" applyBorder="1" applyProtection="1"/>
    <xf numFmtId="37" fontId="1" fillId="10" borderId="3" xfId="11" applyNumberFormat="1" applyFont="1" applyFill="1" applyBorder="1" applyProtection="1"/>
    <xf numFmtId="37" fontId="1" fillId="10" borderId="0" xfId="11" applyNumberFormat="1" applyFont="1" applyFill="1" applyBorder="1" applyProtection="1">
      <protection locked="0"/>
    </xf>
    <xf numFmtId="0" fontId="3" fillId="10" borderId="0" xfId="11" applyFont="1" applyFill="1" applyBorder="1" applyProtection="1">
      <protection locked="0"/>
    </xf>
    <xf numFmtId="5" fontId="45" fillId="10" borderId="0" xfId="6" applyFont="1" applyFill="1" applyBorder="1" applyProtection="1">
      <protection hidden="1"/>
    </xf>
    <xf numFmtId="5" fontId="45" fillId="10" borderId="0" xfId="6" applyFont="1" applyFill="1" applyBorder="1" applyProtection="1"/>
    <xf numFmtId="5" fontId="45" fillId="8" borderId="1" xfId="6" applyFont="1" applyFill="1" applyBorder="1" applyProtection="1">
      <protection locked="0"/>
    </xf>
    <xf numFmtId="37" fontId="45" fillId="8" borderId="1" xfId="11" applyNumberFormat="1" applyFont="1" applyFill="1" applyBorder="1" applyProtection="1">
      <protection locked="0"/>
    </xf>
    <xf numFmtId="0" fontId="45" fillId="10" borderId="0" xfId="11" applyFont="1" applyFill="1" applyBorder="1" applyProtection="1">
      <protection locked="0"/>
    </xf>
    <xf numFmtId="37" fontId="45" fillId="10" borderId="0" xfId="11" applyNumberFormat="1" applyFont="1" applyFill="1" applyBorder="1" applyProtection="1"/>
    <xf numFmtId="37" fontId="45" fillId="10" borderId="3" xfId="11" applyNumberFormat="1" applyFont="1" applyFill="1" applyBorder="1" applyProtection="1"/>
    <xf numFmtId="5" fontId="45" fillId="10" borderId="3" xfId="6" applyFont="1" applyFill="1" applyBorder="1" applyProtection="1">
      <protection hidden="1"/>
    </xf>
    <xf numFmtId="37" fontId="45" fillId="10" borderId="0" xfId="11" applyNumberFormat="1" applyFont="1" applyFill="1" applyBorder="1" applyAlignment="1" applyProtection="1">
      <alignment horizontal="fill"/>
    </xf>
    <xf numFmtId="37" fontId="45" fillId="10" borderId="0" xfId="11" applyNumberFormat="1" applyFont="1" applyFill="1" applyBorder="1" applyProtection="1">
      <protection locked="0"/>
    </xf>
    <xf numFmtId="37" fontId="45" fillId="10" borderId="0" xfId="11" applyNumberFormat="1" applyFont="1" applyFill="1" applyBorder="1" applyAlignment="1" applyProtection="1">
      <alignment horizontal="fill"/>
      <protection locked="0"/>
    </xf>
    <xf numFmtId="5" fontId="45" fillId="10" borderId="2" xfId="6" applyFont="1" applyFill="1" applyBorder="1" applyProtection="1">
      <protection hidden="1"/>
    </xf>
    <xf numFmtId="0" fontId="1" fillId="10" borderId="64" xfId="11" applyFont="1" applyFill="1" applyBorder="1" applyAlignment="1" applyProtection="1">
      <alignment horizontal="centerContinuous"/>
      <protection locked="0"/>
    </xf>
    <xf numFmtId="0" fontId="1" fillId="10" borderId="65" xfId="11" applyFont="1" applyFill="1" applyBorder="1" applyProtection="1">
      <protection locked="0"/>
    </xf>
    <xf numFmtId="0" fontId="3" fillId="10" borderId="66" xfId="11" applyFont="1" applyFill="1" applyBorder="1" applyProtection="1">
      <protection locked="0"/>
    </xf>
    <xf numFmtId="0" fontId="45" fillId="10" borderId="67" xfId="11" applyFont="1" applyFill="1" applyBorder="1" applyAlignment="1" applyProtection="1">
      <alignment horizontal="centerContinuous"/>
      <protection locked="0"/>
    </xf>
    <xf numFmtId="0" fontId="45" fillId="10" borderId="0" xfId="11" applyFont="1" applyFill="1" applyBorder="1" applyAlignment="1" applyProtection="1">
      <alignment horizontal="center"/>
    </xf>
    <xf numFmtId="0" fontId="45" fillId="10" borderId="0" xfId="11" applyFont="1" applyFill="1" applyBorder="1" applyAlignment="1" applyProtection="1">
      <alignment horizontal="center"/>
      <protection locked="0"/>
    </xf>
    <xf numFmtId="0" fontId="3" fillId="10" borderId="68" xfId="11" applyFont="1" applyFill="1" applyBorder="1" applyProtection="1">
      <protection locked="0"/>
    </xf>
    <xf numFmtId="0" fontId="50" fillId="10" borderId="0" xfId="11" applyFont="1" applyFill="1" applyBorder="1" applyAlignment="1" applyProtection="1">
      <alignment horizontal="center"/>
      <protection locked="0"/>
    </xf>
    <xf numFmtId="0" fontId="45" fillId="10" borderId="0" xfId="11" applyFont="1" applyFill="1" applyBorder="1" applyProtection="1"/>
    <xf numFmtId="0" fontId="1" fillId="10" borderId="68" xfId="11" applyFont="1" applyFill="1" applyBorder="1" applyProtection="1">
      <protection locked="0"/>
    </xf>
    <xf numFmtId="0" fontId="1" fillId="10" borderId="67" xfId="11" applyFont="1" applyFill="1" applyBorder="1" applyAlignment="1" applyProtection="1">
      <alignment horizontal="centerContinuous"/>
      <protection locked="0"/>
    </xf>
    <xf numFmtId="0" fontId="1" fillId="10" borderId="0" xfId="11" applyFont="1" applyFill="1" applyBorder="1" applyAlignment="1" applyProtection="1">
      <alignment horizontal="fill"/>
      <protection locked="0"/>
    </xf>
    <xf numFmtId="0" fontId="3" fillId="10" borderId="67" xfId="11" applyFont="1" applyFill="1" applyBorder="1" applyAlignment="1" applyProtection="1">
      <alignment horizontal="centerContinuous"/>
      <protection locked="0"/>
    </xf>
    <xf numFmtId="0" fontId="21" fillId="10" borderId="0" xfId="11" applyFont="1" applyFill="1" applyBorder="1" applyProtection="1">
      <protection locked="0"/>
    </xf>
    <xf numFmtId="0" fontId="1" fillId="10" borderId="69" xfId="11" applyFont="1" applyFill="1" applyBorder="1" applyAlignment="1" applyProtection="1">
      <alignment horizontal="centerContinuous"/>
      <protection locked="0"/>
    </xf>
    <xf numFmtId="0" fontId="1" fillId="10" borderId="70" xfId="11" applyFont="1" applyFill="1" applyBorder="1" applyProtection="1">
      <protection locked="0"/>
    </xf>
    <xf numFmtId="0" fontId="3" fillId="10" borderId="71" xfId="11" applyFont="1" applyFill="1" applyBorder="1" applyProtection="1">
      <protection locked="0"/>
    </xf>
    <xf numFmtId="0" fontId="14" fillId="10" borderId="67" xfId="11" applyFont="1" applyFill="1" applyBorder="1" applyAlignment="1" applyProtection="1">
      <alignment horizontal="centerContinuous"/>
      <protection locked="0"/>
    </xf>
    <xf numFmtId="0" fontId="14" fillId="10" borderId="0" xfId="11" applyFont="1" applyFill="1" applyBorder="1" applyProtection="1">
      <protection locked="0"/>
    </xf>
    <xf numFmtId="0" fontId="14" fillId="10" borderId="0" xfId="11" applyFont="1" applyFill="1" applyBorder="1" applyAlignment="1" applyProtection="1">
      <alignment horizontal="center"/>
    </xf>
    <xf numFmtId="0" fontId="14" fillId="10" borderId="0" xfId="11" applyFont="1" applyFill="1" applyBorder="1" applyAlignment="1" applyProtection="1">
      <alignment horizontal="center"/>
      <protection locked="0"/>
    </xf>
    <xf numFmtId="0" fontId="14" fillId="10" borderId="80" xfId="11" applyFont="1" applyFill="1" applyBorder="1" applyAlignment="1" applyProtection="1">
      <alignment horizontal="centerContinuous"/>
      <protection locked="0"/>
    </xf>
    <xf numFmtId="0" fontId="14" fillId="10" borderId="3" xfId="11" applyFont="1" applyFill="1" applyBorder="1" applyAlignment="1" applyProtection="1">
      <alignment horizontal="center"/>
      <protection locked="0"/>
    </xf>
    <xf numFmtId="0" fontId="14" fillId="10" borderId="3" xfId="11" applyFont="1" applyFill="1" applyBorder="1" applyAlignment="1" applyProtection="1">
      <alignment horizontal="center"/>
    </xf>
    <xf numFmtId="0" fontId="4" fillId="7" borderId="0" xfId="11" applyFont="1" applyFill="1" applyProtection="1">
      <protection hidden="1"/>
    </xf>
    <xf numFmtId="0" fontId="1" fillId="10" borderId="0" xfId="11" applyFont="1" applyFill="1" applyBorder="1" applyProtection="1"/>
    <xf numFmtId="0" fontId="13" fillId="7" borderId="0" xfId="11" applyFont="1" applyFill="1" applyAlignment="1" applyProtection="1">
      <alignment horizontal="left"/>
      <protection locked="0"/>
    </xf>
    <xf numFmtId="0" fontId="13" fillId="7" borderId="0" xfId="11" applyFont="1" applyFill="1" applyBorder="1" applyAlignment="1" applyProtection="1">
      <alignment horizontal="centerContinuous"/>
      <protection locked="0"/>
    </xf>
    <xf numFmtId="5" fontId="13" fillId="7" borderId="0" xfId="6" applyFont="1" applyFill="1" applyBorder="1" applyProtection="1">
      <protection locked="0"/>
    </xf>
    <xf numFmtId="0" fontId="13" fillId="7" borderId="0" xfId="11" applyFont="1" applyFill="1" applyBorder="1" applyAlignment="1" applyProtection="1">
      <protection locked="0"/>
    </xf>
    <xf numFmtId="0" fontId="1" fillId="7" borderId="0" xfId="11" applyFont="1" applyFill="1" applyAlignment="1" applyProtection="1">
      <alignment horizontal="left"/>
      <protection locked="0"/>
    </xf>
    <xf numFmtId="0" fontId="4" fillId="7" borderId="0" xfId="11" applyFont="1" applyFill="1" applyAlignment="1" applyProtection="1">
      <alignment horizontal="left"/>
      <protection locked="0"/>
    </xf>
    <xf numFmtId="0" fontId="1" fillId="10" borderId="0" xfId="11" applyFont="1" applyFill="1" applyBorder="1" applyAlignment="1" applyProtection="1">
      <alignment horizontal="centerContinuous"/>
      <protection locked="0"/>
    </xf>
    <xf numFmtId="0" fontId="1" fillId="10" borderId="64" xfId="11" applyFont="1" applyFill="1" applyBorder="1" applyProtection="1">
      <protection locked="0"/>
    </xf>
    <xf numFmtId="0" fontId="1" fillId="10" borderId="65" xfId="11" applyFont="1" applyFill="1" applyBorder="1" applyAlignment="1" applyProtection="1">
      <alignment horizontal="centerContinuous"/>
      <protection locked="0"/>
    </xf>
    <xf numFmtId="0" fontId="24" fillId="10" borderId="67" xfId="11" applyFont="1" applyFill="1" applyBorder="1" applyProtection="1">
      <protection locked="0"/>
    </xf>
    <xf numFmtId="0" fontId="1" fillId="10" borderId="67" xfId="11" applyFont="1" applyFill="1" applyBorder="1" applyProtection="1">
      <protection locked="0"/>
    </xf>
    <xf numFmtId="0" fontId="13" fillId="10" borderId="0" xfId="11" applyFont="1" applyFill="1" applyBorder="1" applyProtection="1">
      <protection locked="0"/>
    </xf>
    <xf numFmtId="0" fontId="2" fillId="10" borderId="0" xfId="11" applyFont="1" applyFill="1" applyBorder="1" applyAlignment="1" applyProtection="1">
      <alignment horizontal="fill"/>
      <protection locked="0"/>
    </xf>
    <xf numFmtId="5" fontId="13" fillId="10" borderId="0" xfId="11" applyNumberFormat="1" applyFont="1" applyFill="1" applyBorder="1" applyProtection="1">
      <protection locked="0"/>
    </xf>
    <xf numFmtId="167" fontId="1" fillId="8" borderId="9" xfId="11" applyNumberFormat="1" applyFont="1" applyFill="1" applyBorder="1" applyAlignment="1" applyProtection="1">
      <alignment horizontal="center"/>
      <protection locked="0"/>
    </xf>
    <xf numFmtId="0" fontId="1" fillId="10" borderId="0" xfId="11" applyFont="1" applyFill="1" applyBorder="1" applyAlignment="1" applyProtection="1">
      <alignment horizontal="center"/>
      <protection locked="0"/>
    </xf>
    <xf numFmtId="0" fontId="21" fillId="10" borderId="0" xfId="11" applyFont="1" applyFill="1" applyBorder="1" applyAlignment="1" applyProtection="1">
      <alignment horizontal="center"/>
      <protection locked="0"/>
    </xf>
    <xf numFmtId="0" fontId="21" fillId="10" borderId="0" xfId="11" applyFont="1" applyFill="1" applyBorder="1" applyAlignment="1" applyProtection="1">
      <alignment horizontal="centerContinuous"/>
      <protection locked="0"/>
    </xf>
    <xf numFmtId="5" fontId="1" fillId="10" borderId="0" xfId="11" applyNumberFormat="1" applyFont="1" applyFill="1" applyBorder="1" applyProtection="1">
      <protection locked="0"/>
    </xf>
    <xf numFmtId="5" fontId="1" fillId="10" borderId="2" xfId="11" applyNumberFormat="1" applyFont="1" applyFill="1" applyBorder="1" applyProtection="1"/>
    <xf numFmtId="0" fontId="45" fillId="10" borderId="0" xfId="11" applyFont="1" applyFill="1" applyBorder="1" applyAlignment="1" applyProtection="1">
      <alignment horizontal="centerContinuous"/>
      <protection locked="0"/>
    </xf>
    <xf numFmtId="5" fontId="45" fillId="10" borderId="0" xfId="6" applyFont="1" applyFill="1" applyBorder="1" applyProtection="1">
      <protection locked="0"/>
    </xf>
    <xf numFmtId="0" fontId="45" fillId="10" borderId="0" xfId="11" applyFont="1" applyFill="1" applyBorder="1" applyAlignment="1" applyProtection="1">
      <protection locked="0"/>
    </xf>
    <xf numFmtId="5" fontId="45" fillId="10" borderId="3" xfId="6" quotePrefix="1" applyFont="1" applyFill="1" applyBorder="1" applyProtection="1"/>
    <xf numFmtId="5" fontId="45" fillId="10" borderId="0" xfId="11" applyNumberFormat="1" applyFont="1" applyFill="1" applyBorder="1" applyProtection="1">
      <protection locked="0"/>
    </xf>
    <xf numFmtId="5" fontId="45" fillId="8" borderId="19" xfId="6" applyFont="1" applyFill="1" applyBorder="1" applyProtection="1">
      <protection locked="0"/>
    </xf>
    <xf numFmtId="5" fontId="45" fillId="10" borderId="2" xfId="11" applyNumberFormat="1" applyFont="1" applyFill="1" applyBorder="1" applyProtection="1"/>
    <xf numFmtId="0" fontId="1" fillId="7" borderId="0" xfId="11" applyFont="1" applyFill="1" applyBorder="1" applyAlignment="1" applyProtection="1">
      <alignment horizontal="center"/>
    </xf>
    <xf numFmtId="0" fontId="1" fillId="7" borderId="0" xfId="8" applyFont="1" applyFill="1" applyAlignment="1" applyProtection="1">
      <alignment horizontal="center"/>
    </xf>
    <xf numFmtId="5" fontId="45" fillId="10" borderId="3" xfId="6" applyFont="1" applyFill="1" applyBorder="1" applyProtection="1"/>
    <xf numFmtId="5" fontId="45" fillId="10" borderId="0" xfId="11" applyNumberFormat="1" applyFont="1" applyFill="1" applyBorder="1" applyProtection="1"/>
    <xf numFmtId="0" fontId="14" fillId="10" borderId="0" xfId="11" applyFont="1" applyFill="1" applyBorder="1" applyAlignment="1" applyProtection="1">
      <alignment horizontal="centerContinuous"/>
      <protection locked="0"/>
    </xf>
    <xf numFmtId="0" fontId="14" fillId="10" borderId="3" xfId="11" applyFont="1" applyFill="1" applyBorder="1" applyAlignment="1" applyProtection="1">
      <alignment horizontal="centerContinuous"/>
      <protection locked="0"/>
    </xf>
    <xf numFmtId="0" fontId="33" fillId="7" borderId="0" xfId="11" applyFont="1" applyFill="1" applyProtection="1">
      <protection locked="0" hidden="1"/>
    </xf>
    <xf numFmtId="37" fontId="13" fillId="7" borderId="0" xfId="11" applyNumberFormat="1" applyFont="1" applyFill="1" applyProtection="1">
      <protection locked="0" hidden="1"/>
    </xf>
    <xf numFmtId="37" fontId="19" fillId="7" borderId="0" xfId="11" applyNumberFormat="1" applyFont="1" applyFill="1" applyProtection="1">
      <protection locked="0" hidden="1"/>
    </xf>
    <xf numFmtId="0" fontId="8" fillId="7" borderId="0" xfId="7" applyFont="1" applyFill="1" applyAlignment="1" applyProtection="1">
      <protection locked="0"/>
    </xf>
    <xf numFmtId="5" fontId="13" fillId="7" borderId="0" xfId="11" applyNumberFormat="1" applyFont="1" applyFill="1" applyBorder="1" applyProtection="1">
      <protection locked="0"/>
    </xf>
    <xf numFmtId="0" fontId="9" fillId="7" borderId="0" xfId="9" applyFont="1" applyFill="1" applyProtection="1">
      <protection locked="0"/>
    </xf>
    <xf numFmtId="0" fontId="13" fillId="7" borderId="0" xfId="9" applyFont="1" applyFill="1" applyProtection="1">
      <protection locked="0"/>
    </xf>
    <xf numFmtId="0" fontId="13" fillId="7" borderId="0" xfId="9" applyFont="1" applyFill="1" applyAlignment="1" applyProtection="1">
      <alignment horizontal="centerContinuous"/>
      <protection locked="0"/>
    </xf>
    <xf numFmtId="0" fontId="1" fillId="7" borderId="0" xfId="11" applyFont="1" applyFill="1" applyProtection="1">
      <protection locked="0" hidden="1"/>
    </xf>
    <xf numFmtId="0" fontId="1" fillId="7" borderId="0" xfId="11" applyFont="1" applyFill="1" applyAlignment="1" applyProtection="1">
      <alignment horizontal="centerContinuous"/>
      <protection locked="0" hidden="1"/>
    </xf>
    <xf numFmtId="0" fontId="1" fillId="7" borderId="0" xfId="11" applyFont="1" applyFill="1" applyAlignment="1" applyProtection="1">
      <protection locked="0" hidden="1"/>
    </xf>
    <xf numFmtId="0" fontId="1" fillId="7" borderId="0" xfId="11" applyFont="1" applyFill="1" applyAlignment="1" applyProtection="1">
      <protection locked="0"/>
    </xf>
    <xf numFmtId="0" fontId="13" fillId="10" borderId="0" xfId="11" applyFont="1" applyFill="1" applyBorder="1" applyProtection="1">
      <protection locked="0" hidden="1"/>
    </xf>
    <xf numFmtId="37" fontId="28" fillId="10" borderId="0" xfId="11" applyNumberFormat="1" applyFont="1" applyFill="1" applyBorder="1" applyProtection="1">
      <protection locked="0"/>
    </xf>
    <xf numFmtId="0" fontId="21" fillId="10" borderId="0" xfId="11" applyFont="1" applyFill="1" applyBorder="1" applyAlignment="1" applyProtection="1">
      <alignment horizontal="centerContinuous"/>
      <protection locked="0" hidden="1"/>
    </xf>
    <xf numFmtId="0" fontId="21" fillId="10" borderId="0" xfId="11" applyFont="1" applyFill="1" applyBorder="1" applyAlignment="1" applyProtection="1">
      <alignment horizontal="center"/>
      <protection locked="0" hidden="1"/>
    </xf>
    <xf numFmtId="0" fontId="1" fillId="10" borderId="0" xfId="11" applyFont="1" applyFill="1" applyBorder="1" applyProtection="1">
      <protection locked="0" hidden="1"/>
    </xf>
    <xf numFmtId="0" fontId="21" fillId="10" borderId="0" xfId="11" applyFont="1" applyFill="1" applyBorder="1" applyAlignment="1" applyProtection="1">
      <alignment horizontal="centerContinuous"/>
      <protection hidden="1"/>
    </xf>
    <xf numFmtId="0" fontId="21" fillId="10" borderId="0" xfId="11" applyFont="1" applyFill="1" applyBorder="1" applyAlignment="1" applyProtection="1">
      <alignment horizontal="center"/>
      <protection hidden="1"/>
    </xf>
    <xf numFmtId="0" fontId="34" fillId="10" borderId="0" xfId="11" applyFont="1" applyFill="1" applyBorder="1" applyAlignment="1" applyProtection="1">
      <alignment horizontal="center"/>
      <protection hidden="1"/>
    </xf>
    <xf numFmtId="0" fontId="1" fillId="10" borderId="0" xfId="11" applyFont="1" applyFill="1" applyBorder="1" applyAlignment="1" applyProtection="1">
      <alignment horizontal="center"/>
      <protection locked="0" hidden="1"/>
    </xf>
    <xf numFmtId="0" fontId="1" fillId="10" borderId="0" xfId="11" applyFont="1" applyFill="1" applyBorder="1" applyAlignment="1" applyProtection="1">
      <alignment horizontal="centerContinuous"/>
      <protection hidden="1"/>
    </xf>
    <xf numFmtId="0" fontId="51" fillId="10" borderId="3" xfId="11" applyFont="1" applyFill="1" applyBorder="1" applyAlignment="1" applyProtection="1">
      <alignment horizontal="center"/>
      <protection hidden="1"/>
    </xf>
    <xf numFmtId="0" fontId="3" fillId="10" borderId="3" xfId="11" applyFont="1" applyFill="1" applyBorder="1" applyAlignment="1" applyProtection="1">
      <alignment horizontal="centerContinuous"/>
      <protection locked="0" hidden="1"/>
    </xf>
    <xf numFmtId="0" fontId="3" fillId="10" borderId="3" xfId="11" applyFont="1" applyFill="1" applyBorder="1" applyAlignment="1" applyProtection="1">
      <alignment horizontal="center"/>
      <protection locked="0" hidden="1"/>
    </xf>
    <xf numFmtId="0" fontId="3" fillId="10" borderId="3" xfId="11" applyFont="1" applyFill="1" applyBorder="1" applyAlignment="1" applyProtection="1">
      <alignment horizontal="centerContinuous"/>
      <protection hidden="1"/>
    </xf>
    <xf numFmtId="0" fontId="3" fillId="10" borderId="3" xfId="11" applyFont="1" applyFill="1" applyBorder="1" applyAlignment="1" applyProtection="1">
      <alignment horizontal="center"/>
      <protection hidden="1"/>
    </xf>
    <xf numFmtId="0" fontId="45" fillId="10" borderId="0" xfId="11" applyFont="1" applyFill="1" applyBorder="1" applyProtection="1">
      <protection locked="0" hidden="1"/>
    </xf>
    <xf numFmtId="0" fontId="1" fillId="10" borderId="64" xfId="11" applyFont="1" applyFill="1" applyBorder="1" applyAlignment="1" applyProtection="1">
      <alignment horizontal="centerContinuous"/>
      <protection locked="0" hidden="1"/>
    </xf>
    <xf numFmtId="0" fontId="1" fillId="10" borderId="65" xfId="11" applyFont="1" applyFill="1" applyBorder="1" applyProtection="1">
      <protection locked="0" hidden="1"/>
    </xf>
    <xf numFmtId="0" fontId="3" fillId="10" borderId="67" xfId="11" applyFont="1" applyFill="1" applyBorder="1" applyAlignment="1" applyProtection="1">
      <alignment horizontal="centerContinuous"/>
      <protection locked="0" hidden="1"/>
    </xf>
    <xf numFmtId="0" fontId="3" fillId="10" borderId="0" xfId="11" applyFont="1" applyFill="1" applyBorder="1" applyProtection="1">
      <protection locked="0" hidden="1"/>
    </xf>
    <xf numFmtId="37" fontId="3" fillId="10" borderId="0" xfId="11" applyNumberFormat="1" applyFont="1" applyFill="1" applyBorder="1" applyAlignment="1" applyProtection="1">
      <alignment horizontal="centerContinuous"/>
      <protection locked="0" hidden="1"/>
    </xf>
    <xf numFmtId="0" fontId="3" fillId="10" borderId="0" xfId="11" applyFont="1" applyFill="1" applyBorder="1" applyAlignment="1" applyProtection="1">
      <protection locked="0" hidden="1"/>
    </xf>
    <xf numFmtId="0" fontId="3" fillId="10" borderId="0" xfId="11" applyFont="1" applyFill="1" applyBorder="1" applyAlignment="1" applyProtection="1">
      <protection locked="0"/>
    </xf>
    <xf numFmtId="0" fontId="3" fillId="10" borderId="0" xfId="11" applyFont="1" applyFill="1" applyBorder="1" applyAlignment="1" applyProtection="1">
      <alignment horizontal="centerContinuous"/>
      <protection hidden="1"/>
    </xf>
    <xf numFmtId="0" fontId="33" fillId="10" borderId="0" xfId="11" applyFont="1" applyFill="1" applyBorder="1" applyAlignment="1" applyProtection="1">
      <protection locked="0" hidden="1"/>
    </xf>
    <xf numFmtId="0" fontId="33" fillId="10" borderId="0" xfId="11" applyFont="1" applyFill="1" applyBorder="1" applyAlignment="1" applyProtection="1">
      <alignment horizontal="centerContinuous"/>
      <protection locked="0" hidden="1"/>
    </xf>
    <xf numFmtId="0" fontId="3" fillId="10" borderId="0" xfId="11" applyFont="1" applyFill="1" applyBorder="1" applyAlignment="1" applyProtection="1">
      <alignment horizontal="centerContinuous"/>
    </xf>
    <xf numFmtId="0" fontId="3" fillId="10" borderId="0" xfId="11" applyFont="1" applyFill="1" applyBorder="1" applyAlignment="1" applyProtection="1">
      <alignment horizontal="center"/>
    </xf>
    <xf numFmtId="0" fontId="33" fillId="10" borderId="0" xfId="11" applyFont="1" applyFill="1" applyBorder="1" applyAlignment="1" applyProtection="1">
      <alignment horizontal="center"/>
      <protection hidden="1"/>
    </xf>
    <xf numFmtId="0" fontId="3" fillId="10" borderId="80" xfId="11" applyFont="1" applyFill="1" applyBorder="1" applyAlignment="1" applyProtection="1">
      <alignment horizontal="centerContinuous"/>
      <protection locked="0" hidden="1"/>
    </xf>
    <xf numFmtId="0" fontId="1" fillId="10" borderId="67" xfId="11" applyFont="1" applyFill="1" applyBorder="1" applyAlignment="1" applyProtection="1">
      <alignment horizontal="centerContinuous"/>
      <protection locked="0" hidden="1"/>
    </xf>
    <xf numFmtId="37" fontId="13" fillId="10" borderId="0" xfId="11" applyNumberFormat="1" applyFont="1" applyFill="1" applyBorder="1" applyProtection="1">
      <protection hidden="1"/>
    </xf>
    <xf numFmtId="0" fontId="2" fillId="10" borderId="0" xfId="11" applyFont="1" applyFill="1" applyBorder="1" applyProtection="1">
      <protection hidden="1"/>
    </xf>
    <xf numFmtId="0" fontId="33" fillId="10" borderId="0" xfId="11" applyFont="1" applyFill="1" applyBorder="1" applyProtection="1">
      <protection locked="0" hidden="1"/>
    </xf>
    <xf numFmtId="0" fontId="14" fillId="10" borderId="67" xfId="11" applyFont="1" applyFill="1" applyBorder="1" applyAlignment="1" applyProtection="1">
      <alignment horizontal="centerContinuous"/>
      <protection locked="0" hidden="1"/>
    </xf>
    <xf numFmtId="0" fontId="53" fillId="10" borderId="0" xfId="7" applyFont="1" applyFill="1" applyBorder="1" applyAlignment="1" applyProtection="1"/>
    <xf numFmtId="0" fontId="53" fillId="10" borderId="0" xfId="7" applyFont="1" applyFill="1" applyBorder="1" applyAlignment="1" applyProtection="1">
      <protection locked="0" hidden="1"/>
    </xf>
    <xf numFmtId="0" fontId="45" fillId="10" borderId="0" xfId="9" applyFont="1" applyFill="1" applyBorder="1" applyProtection="1">
      <protection locked="0"/>
    </xf>
    <xf numFmtId="0" fontId="53" fillId="10" borderId="0" xfId="7" applyFont="1" applyFill="1" applyBorder="1" applyAlignment="1" applyProtection="1">
      <protection locked="0"/>
    </xf>
    <xf numFmtId="0" fontId="54" fillId="10" borderId="0" xfId="11" applyFont="1" applyFill="1" applyBorder="1" applyProtection="1">
      <protection locked="0" hidden="1"/>
    </xf>
    <xf numFmtId="0" fontId="13" fillId="10" borderId="69" xfId="11" applyFont="1" applyFill="1" applyBorder="1" applyAlignment="1" applyProtection="1">
      <alignment horizontal="centerContinuous"/>
      <protection locked="0"/>
    </xf>
    <xf numFmtId="0" fontId="13" fillId="10" borderId="70" xfId="11" applyFont="1" applyFill="1" applyBorder="1" applyProtection="1">
      <protection locked="0"/>
    </xf>
    <xf numFmtId="5" fontId="13" fillId="10" borderId="70" xfId="11" applyNumberFormat="1" applyFont="1" applyFill="1" applyBorder="1" applyProtection="1">
      <protection locked="0"/>
    </xf>
    <xf numFmtId="0" fontId="33" fillId="10" borderId="70" xfId="11" applyFont="1" applyFill="1" applyBorder="1" applyProtection="1">
      <protection locked="0" hidden="1"/>
    </xf>
    <xf numFmtId="0" fontId="1" fillId="7" borderId="0" xfId="11" applyFont="1" applyFill="1" applyProtection="1">
      <protection hidden="1"/>
    </xf>
    <xf numFmtId="0" fontId="1" fillId="7" borderId="0" xfId="11" applyFont="1" applyFill="1" applyAlignment="1" applyProtection="1">
      <alignment horizontal="centerContinuous"/>
    </xf>
    <xf numFmtId="0" fontId="1" fillId="7" borderId="0" xfId="11" applyFont="1" applyFill="1" applyAlignment="1" applyProtection="1">
      <alignment horizontal="centerContinuous"/>
      <protection hidden="1"/>
    </xf>
    <xf numFmtId="0" fontId="1" fillId="7" borderId="0" xfId="11" applyFont="1" applyFill="1" applyAlignment="1" applyProtection="1">
      <protection hidden="1"/>
    </xf>
    <xf numFmtId="5" fontId="45" fillId="10" borderId="0" xfId="11" applyNumberFormat="1" applyFont="1" applyFill="1" applyBorder="1" applyProtection="1">
      <protection hidden="1"/>
    </xf>
    <xf numFmtId="5" fontId="45" fillId="10" borderId="0" xfId="11" applyNumberFormat="1" applyFont="1" applyFill="1" applyBorder="1" applyProtection="1">
      <protection locked="0" hidden="1"/>
    </xf>
    <xf numFmtId="5" fontId="45" fillId="8" borderId="1" xfId="11" applyNumberFormat="1" applyFont="1" applyFill="1" applyBorder="1" applyProtection="1">
      <protection locked="0" hidden="1"/>
    </xf>
    <xf numFmtId="37" fontId="45" fillId="10" borderId="0" xfId="11" applyNumberFormat="1" applyFont="1" applyFill="1" applyBorder="1" applyProtection="1">
      <protection hidden="1"/>
    </xf>
    <xf numFmtId="37" fontId="45" fillId="10" borderId="0" xfId="11" applyNumberFormat="1" applyFont="1" applyFill="1" applyBorder="1" applyProtection="1">
      <protection locked="0" hidden="1"/>
    </xf>
    <xf numFmtId="37" fontId="45" fillId="8" borderId="1" xfId="11" applyNumberFormat="1" applyFont="1" applyFill="1" applyBorder="1" applyProtection="1">
      <protection locked="0" hidden="1"/>
    </xf>
    <xf numFmtId="37" fontId="45" fillId="10" borderId="3" xfId="11" applyNumberFormat="1" applyFont="1" applyFill="1" applyBorder="1" applyProtection="1">
      <protection hidden="1"/>
    </xf>
    <xf numFmtId="37" fontId="45" fillId="10" borderId="4" xfId="11" applyNumberFormat="1" applyFont="1" applyFill="1" applyBorder="1" applyProtection="1">
      <protection hidden="1"/>
    </xf>
    <xf numFmtId="37" fontId="45" fillId="10" borderId="4" xfId="11" applyNumberFormat="1" applyFont="1" applyFill="1" applyBorder="1" applyProtection="1">
      <protection locked="0"/>
    </xf>
    <xf numFmtId="5" fontId="45" fillId="10" borderId="3" xfId="11" applyNumberFormat="1" applyFont="1" applyFill="1" applyBorder="1" applyProtection="1">
      <protection hidden="1"/>
    </xf>
    <xf numFmtId="5" fontId="45" fillId="10" borderId="4" xfId="11" applyNumberFormat="1" applyFont="1" applyFill="1" applyBorder="1" applyProtection="1">
      <protection locked="0"/>
    </xf>
    <xf numFmtId="5" fontId="45" fillId="10" borderId="3" xfId="11" applyNumberFormat="1" applyFont="1" applyFill="1" applyBorder="1" applyProtection="1"/>
    <xf numFmtId="37" fontId="13" fillId="10" borderId="0" xfId="11" applyNumberFormat="1" applyFont="1" applyFill="1" applyBorder="1" applyProtection="1">
      <protection locked="0" hidden="1"/>
    </xf>
    <xf numFmtId="0" fontId="33" fillId="10" borderId="68" xfId="11" applyFont="1" applyFill="1" applyBorder="1" applyProtection="1">
      <protection locked="0" hidden="1"/>
    </xf>
    <xf numFmtId="0" fontId="13" fillId="10" borderId="67" xfId="11" applyFont="1" applyFill="1" applyBorder="1" applyAlignment="1" applyProtection="1">
      <alignment horizontal="centerContinuous"/>
      <protection locked="0" hidden="1"/>
    </xf>
    <xf numFmtId="0" fontId="8" fillId="10" borderId="0" xfId="7" applyFill="1" applyBorder="1" applyAlignment="1" applyProtection="1"/>
    <xf numFmtId="0" fontId="8" fillId="10" borderId="68" xfId="7" applyFill="1" applyBorder="1" applyAlignment="1" applyProtection="1"/>
    <xf numFmtId="37" fontId="19" fillId="10" borderId="0" xfId="11" applyNumberFormat="1" applyFont="1" applyFill="1" applyBorder="1" applyProtection="1">
      <protection locked="0" hidden="1"/>
    </xf>
    <xf numFmtId="0" fontId="8" fillId="10" borderId="0" xfId="7" applyFont="1" applyFill="1" applyBorder="1" applyAlignment="1" applyProtection="1">
      <protection locked="0" hidden="1"/>
    </xf>
    <xf numFmtId="0" fontId="13" fillId="10" borderId="0" xfId="9" applyFont="1" applyFill="1" applyBorder="1" applyProtection="1">
      <protection locked="0"/>
    </xf>
    <xf numFmtId="0" fontId="13" fillId="10" borderId="67" xfId="11" applyFont="1" applyFill="1" applyBorder="1" applyAlignment="1" applyProtection="1">
      <alignment horizontal="centerContinuous"/>
      <protection locked="0"/>
    </xf>
    <xf numFmtId="0" fontId="2" fillId="10" borderId="69" xfId="11" applyFont="1" applyFill="1" applyBorder="1" applyAlignment="1" applyProtection="1">
      <alignment horizontal="centerContinuous"/>
      <protection locked="0"/>
    </xf>
    <xf numFmtId="0" fontId="33" fillId="10" borderId="71" xfId="11" applyFont="1" applyFill="1" applyBorder="1" applyProtection="1">
      <protection locked="0" hidden="1"/>
    </xf>
    <xf numFmtId="0" fontId="1" fillId="7" borderId="0" xfId="11" applyFont="1" applyFill="1" applyAlignment="1" applyProtection="1">
      <alignment horizontal="left"/>
      <protection locked="0" hidden="1"/>
    </xf>
    <xf numFmtId="0" fontId="1" fillId="7" borderId="0" xfId="11" applyFont="1" applyFill="1" applyBorder="1" applyProtection="1">
      <protection locked="0" hidden="1"/>
    </xf>
    <xf numFmtId="0" fontId="1" fillId="10" borderId="0" xfId="11" applyFont="1" applyFill="1" applyBorder="1" applyAlignment="1" applyProtection="1">
      <protection locked="0" hidden="1"/>
    </xf>
    <xf numFmtId="5" fontId="1" fillId="10" borderId="0" xfId="11" applyNumberFormat="1" applyFont="1" applyFill="1" applyBorder="1" applyProtection="1">
      <protection locked="0" hidden="1"/>
    </xf>
    <xf numFmtId="5" fontId="1" fillId="10" borderId="0" xfId="11" applyNumberFormat="1" applyFont="1" applyFill="1" applyBorder="1" applyProtection="1">
      <protection hidden="1"/>
    </xf>
    <xf numFmtId="37" fontId="1" fillId="10" borderId="0" xfId="11" applyNumberFormat="1" applyFont="1" applyFill="1" applyBorder="1" applyProtection="1">
      <protection locked="0" hidden="1"/>
    </xf>
    <xf numFmtId="37" fontId="1" fillId="10" borderId="0" xfId="11" applyNumberFormat="1" applyFont="1" applyFill="1" applyBorder="1" applyProtection="1">
      <protection hidden="1"/>
    </xf>
    <xf numFmtId="37" fontId="1" fillId="10" borderId="4" xfId="11" applyNumberFormat="1" applyFont="1" applyFill="1" applyBorder="1" applyProtection="1">
      <protection locked="0" hidden="1"/>
    </xf>
    <xf numFmtId="37" fontId="1" fillId="10" borderId="4" xfId="11" applyNumberFormat="1" applyFont="1" applyFill="1" applyBorder="1" applyProtection="1">
      <protection locked="0"/>
    </xf>
    <xf numFmtId="5" fontId="1" fillId="10" borderId="3" xfId="11" applyNumberFormat="1" applyFont="1" applyFill="1" applyBorder="1" applyProtection="1">
      <protection hidden="1"/>
    </xf>
    <xf numFmtId="5" fontId="1" fillId="10" borderId="3" xfId="11" applyNumberFormat="1" applyFont="1" applyFill="1" applyBorder="1" applyProtection="1">
      <protection locked="0"/>
    </xf>
    <xf numFmtId="0" fontId="3" fillId="10" borderId="67" xfId="9" applyFont="1" applyFill="1" applyBorder="1" applyProtection="1">
      <protection locked="0"/>
    </xf>
    <xf numFmtId="0" fontId="1" fillId="10" borderId="0" xfId="9" applyFont="1" applyFill="1" applyBorder="1" applyProtection="1">
      <protection locked="0"/>
    </xf>
    <xf numFmtId="0" fontId="1" fillId="10" borderId="67" xfId="9" applyFont="1" applyFill="1" applyBorder="1" applyAlignment="1" applyProtection="1">
      <alignment horizontal="centerContinuous"/>
      <protection locked="0"/>
    </xf>
    <xf numFmtId="37" fontId="21" fillId="10" borderId="0" xfId="11" applyNumberFormat="1" applyFont="1" applyFill="1" applyBorder="1" applyAlignment="1" applyProtection="1">
      <alignment horizontal="centerContinuous"/>
      <protection hidden="1"/>
    </xf>
    <xf numFmtId="37" fontId="1" fillId="10" borderId="4" xfId="11" applyNumberFormat="1" applyFont="1" applyFill="1" applyBorder="1" applyProtection="1">
      <protection hidden="1"/>
    </xf>
    <xf numFmtId="0" fontId="1" fillId="10" borderId="0" xfId="11" applyFont="1" applyFill="1" applyBorder="1" applyAlignment="1" applyProtection="1">
      <alignment horizontal="centerContinuous"/>
    </xf>
    <xf numFmtId="0" fontId="1" fillId="10" borderId="0" xfId="11" applyFont="1" applyFill="1" applyBorder="1" applyAlignment="1" applyProtection="1">
      <alignment horizontal="center"/>
    </xf>
    <xf numFmtId="0" fontId="33" fillId="10" borderId="68" xfId="11" applyFont="1" applyFill="1" applyBorder="1" applyAlignment="1" applyProtection="1">
      <alignment horizontal="center"/>
      <protection hidden="1"/>
    </xf>
    <xf numFmtId="0" fontId="34" fillId="10" borderId="68" xfId="11" applyFont="1" applyFill="1" applyBorder="1" applyAlignment="1" applyProtection="1">
      <alignment horizontal="center"/>
      <protection hidden="1"/>
    </xf>
    <xf numFmtId="0" fontId="33" fillId="10" borderId="0" xfId="11" applyFont="1" applyFill="1" applyBorder="1" applyProtection="1">
      <protection hidden="1"/>
    </xf>
    <xf numFmtId="0" fontId="33" fillId="10" borderId="68" xfId="11" applyFont="1" applyFill="1" applyBorder="1" applyProtection="1">
      <protection hidden="1"/>
    </xf>
    <xf numFmtId="37" fontId="1" fillId="8" borderId="1" xfId="11" applyNumberFormat="1" applyFont="1" applyFill="1" applyBorder="1" applyProtection="1">
      <protection locked="0" hidden="1"/>
    </xf>
    <xf numFmtId="0" fontId="3" fillId="10" borderId="64" xfId="11" applyFont="1" applyFill="1" applyBorder="1" applyAlignment="1" applyProtection="1">
      <protection locked="0" hidden="1"/>
    </xf>
    <xf numFmtId="0" fontId="3" fillId="10" borderId="65" xfId="11" applyFont="1" applyFill="1" applyBorder="1" applyAlignment="1" applyProtection="1">
      <protection locked="0" hidden="1"/>
    </xf>
    <xf numFmtId="0" fontId="3" fillId="10" borderId="65" xfId="11" applyFont="1" applyFill="1" applyBorder="1" applyAlignment="1" applyProtection="1">
      <protection locked="0"/>
    </xf>
    <xf numFmtId="0" fontId="3" fillId="10" borderId="0" xfId="11" applyFont="1" applyFill="1" applyBorder="1" applyProtection="1"/>
    <xf numFmtId="0" fontId="3" fillId="10" borderId="0" xfId="11" applyFont="1" applyFill="1" applyBorder="1" applyAlignment="1" applyProtection="1">
      <alignment horizontal="center"/>
      <protection hidden="1"/>
    </xf>
    <xf numFmtId="0" fontId="3" fillId="10" borderId="67" xfId="11" applyFont="1" applyFill="1" applyBorder="1" applyProtection="1">
      <protection locked="0" hidden="1"/>
    </xf>
    <xf numFmtId="0" fontId="3" fillId="10" borderId="67" xfId="11" applyFont="1" applyFill="1" applyBorder="1" applyAlignment="1" applyProtection="1">
      <alignment horizontal="center"/>
      <protection locked="0" hidden="1"/>
    </xf>
    <xf numFmtId="37" fontId="45" fillId="10" borderId="4" xfId="11" applyNumberFormat="1" applyFont="1" applyFill="1" applyBorder="1" applyProtection="1">
      <protection locked="0" hidden="1"/>
    </xf>
    <xf numFmtId="5" fontId="45" fillId="10" borderId="3" xfId="11" applyNumberFormat="1" applyFont="1" applyFill="1" applyBorder="1" applyProtection="1">
      <protection locked="0"/>
    </xf>
    <xf numFmtId="0" fontId="14" fillId="10" borderId="67" xfId="11" applyFont="1" applyFill="1" applyBorder="1" applyProtection="1">
      <protection locked="0" hidden="1"/>
    </xf>
    <xf numFmtId="0" fontId="14" fillId="10" borderId="67" xfId="11" applyFont="1" applyFill="1" applyBorder="1" applyAlignment="1" applyProtection="1">
      <alignment horizontal="center"/>
      <protection locked="0" hidden="1"/>
    </xf>
    <xf numFmtId="0" fontId="45" fillId="10" borderId="67" xfId="11" applyFont="1" applyFill="1" applyBorder="1" applyAlignment="1" applyProtection="1">
      <alignment horizontal="centerContinuous"/>
      <protection locked="0" hidden="1"/>
    </xf>
    <xf numFmtId="0" fontId="8" fillId="10" borderId="0" xfId="7" applyFont="1" applyFill="1" applyBorder="1" applyAlignment="1" applyProtection="1">
      <protection locked="0"/>
    </xf>
    <xf numFmtId="0" fontId="8" fillId="10" borderId="68" xfId="7" applyFont="1" applyFill="1" applyBorder="1" applyAlignment="1" applyProtection="1">
      <protection locked="0"/>
    </xf>
    <xf numFmtId="0" fontId="1" fillId="10" borderId="0" xfId="9" applyFont="1" applyFill="1" applyBorder="1" applyProtection="1"/>
    <xf numFmtId="5" fontId="45" fillId="8" borderId="1" xfId="11" applyNumberFormat="1" applyFont="1" applyFill="1" applyBorder="1" applyProtection="1">
      <protection locked="0"/>
    </xf>
    <xf numFmtId="0" fontId="33" fillId="7" borderId="0" xfId="11" applyFont="1" applyFill="1" applyBorder="1" applyProtection="1">
      <protection locked="0" hidden="1"/>
    </xf>
    <xf numFmtId="0" fontId="13" fillId="7" borderId="0" xfId="11" applyFont="1" applyFill="1" applyBorder="1" applyAlignment="1" applyProtection="1">
      <alignment horizontal="center"/>
      <protection locked="0"/>
    </xf>
    <xf numFmtId="0" fontId="4" fillId="7" borderId="0" xfId="11" applyFont="1" applyFill="1" applyAlignment="1" applyProtection="1">
      <alignment horizontal="left"/>
      <protection locked="0" hidden="1"/>
    </xf>
    <xf numFmtId="0" fontId="2" fillId="10" borderId="0" xfId="9" applyFont="1" applyFill="1" applyBorder="1" applyProtection="1">
      <protection locked="0"/>
    </xf>
    <xf numFmtId="0" fontId="9" fillId="10" borderId="0" xfId="9" applyFont="1" applyFill="1" applyBorder="1" applyProtection="1">
      <protection locked="0"/>
    </xf>
    <xf numFmtId="0" fontId="13" fillId="10" borderId="68" xfId="9" applyFont="1" applyFill="1" applyBorder="1" applyProtection="1">
      <protection locked="0"/>
    </xf>
    <xf numFmtId="0" fontId="13" fillId="10" borderId="0" xfId="9" applyFont="1" applyFill="1" applyBorder="1" applyAlignment="1" applyProtection="1">
      <alignment horizontal="centerContinuous"/>
      <protection locked="0"/>
    </xf>
    <xf numFmtId="0" fontId="13" fillId="10" borderId="69" xfId="11" applyFont="1" applyFill="1" applyBorder="1" applyAlignment="1" applyProtection="1">
      <alignment horizontal="centerContinuous"/>
      <protection locked="0" hidden="1"/>
    </xf>
    <xf numFmtId="0" fontId="13" fillId="10" borderId="70" xfId="11" applyFont="1" applyFill="1" applyBorder="1" applyProtection="1">
      <protection locked="0" hidden="1"/>
    </xf>
    <xf numFmtId="37" fontId="19" fillId="10" borderId="70" xfId="11" applyNumberFormat="1" applyFont="1" applyFill="1" applyBorder="1" applyProtection="1">
      <protection locked="0" hidden="1"/>
    </xf>
    <xf numFmtId="37" fontId="13" fillId="10" borderId="70" xfId="11" applyNumberFormat="1" applyFont="1" applyFill="1" applyBorder="1" applyProtection="1">
      <protection locked="0" hidden="1"/>
    </xf>
    <xf numFmtId="0" fontId="8" fillId="10" borderId="70" xfId="7" applyFont="1" applyFill="1" applyBorder="1" applyAlignment="1" applyProtection="1">
      <protection locked="0"/>
    </xf>
    <xf numFmtId="0" fontId="1" fillId="10" borderId="0" xfId="11" applyFont="1" applyFill="1" applyBorder="1" applyProtection="1">
      <protection hidden="1"/>
    </xf>
    <xf numFmtId="5" fontId="1" fillId="10" borderId="0" xfId="11" applyNumberFormat="1" applyFont="1" applyFill="1" applyBorder="1" applyProtection="1"/>
    <xf numFmtId="5" fontId="1" fillId="8" borderId="1" xfId="11" applyNumberFormat="1" applyFont="1" applyFill="1" applyBorder="1" applyProtection="1">
      <protection locked="0"/>
    </xf>
    <xf numFmtId="37" fontId="1" fillId="10" borderId="3" xfId="11" applyNumberFormat="1" applyFont="1" applyFill="1" applyBorder="1" applyProtection="1">
      <protection locked="0"/>
    </xf>
    <xf numFmtId="0" fontId="3" fillId="10" borderId="0" xfId="9" applyFont="1" applyFill="1" applyBorder="1" applyProtection="1">
      <protection locked="0"/>
    </xf>
    <xf numFmtId="0" fontId="1" fillId="10" borderId="0" xfId="9" applyFont="1" applyFill="1" applyBorder="1" applyAlignment="1" applyProtection="1">
      <alignment horizontal="centerContinuous"/>
      <protection locked="0"/>
    </xf>
    <xf numFmtId="37" fontId="45" fillId="10" borderId="3" xfId="11" applyNumberFormat="1" applyFont="1" applyFill="1" applyBorder="1" applyProtection="1">
      <protection locked="0"/>
    </xf>
    <xf numFmtId="3" fontId="45" fillId="10" borderId="0" xfId="11" applyNumberFormat="1" applyFont="1" applyFill="1" applyBorder="1" applyProtection="1">
      <protection locked="0"/>
    </xf>
    <xf numFmtId="5" fontId="45" fillId="10" borderId="2" xfId="11" applyNumberFormat="1" applyFont="1" applyFill="1" applyBorder="1" applyProtection="1">
      <protection hidden="1"/>
    </xf>
    <xf numFmtId="0" fontId="8" fillId="10" borderId="0" xfId="7" applyFill="1" applyBorder="1" applyAlignment="1" applyProtection="1">
      <protection hidden="1"/>
    </xf>
    <xf numFmtId="0" fontId="3" fillId="10" borderId="67" xfId="9" applyFont="1" applyFill="1" applyBorder="1" applyAlignment="1" applyProtection="1">
      <alignment horizontal="center"/>
      <protection locked="0"/>
    </xf>
    <xf numFmtId="0" fontId="4" fillId="7" borderId="0" xfId="11" applyFont="1" applyFill="1" applyAlignment="1" applyProtection="1">
      <alignment horizontal="left"/>
      <protection hidden="1"/>
    </xf>
    <xf numFmtId="0" fontId="13" fillId="7" borderId="0" xfId="11" applyFont="1" applyFill="1" applyBorder="1" applyAlignment="1" applyProtection="1">
      <alignment horizontal="left"/>
      <protection locked="0" hidden="1"/>
    </xf>
    <xf numFmtId="0" fontId="1" fillId="7" borderId="0" xfId="11" applyFont="1" applyFill="1" applyBorder="1" applyAlignment="1" applyProtection="1">
      <alignment horizontal="left"/>
      <protection hidden="1"/>
    </xf>
    <xf numFmtId="0" fontId="1" fillId="10" borderId="0" xfId="11" applyFont="1" applyFill="1" applyBorder="1" applyAlignment="1" applyProtection="1">
      <alignment horizontal="left"/>
      <protection locked="0" hidden="1"/>
    </xf>
    <xf numFmtId="5" fontId="1" fillId="10" borderId="3" xfId="9" applyNumberFormat="1" applyFont="1" applyFill="1" applyBorder="1" applyProtection="1"/>
    <xf numFmtId="5" fontId="1" fillId="10" borderId="3" xfId="11" applyNumberFormat="1" applyFont="1" applyFill="1" applyBorder="1" applyProtection="1"/>
    <xf numFmtId="0" fontId="1" fillId="10" borderId="4" xfId="11" applyFont="1" applyFill="1" applyBorder="1" applyAlignment="1" applyProtection="1">
      <alignment horizontal="centerContinuous"/>
      <protection locked="0"/>
    </xf>
    <xf numFmtId="5" fontId="1" fillId="10" borderId="3" xfId="11" applyNumberFormat="1" applyFont="1" applyFill="1" applyBorder="1" applyAlignment="1" applyProtection="1">
      <alignment horizontal="right"/>
    </xf>
    <xf numFmtId="5" fontId="1" fillId="10" borderId="2" xfId="11" applyNumberFormat="1" applyFont="1" applyFill="1" applyBorder="1" applyAlignment="1" applyProtection="1">
      <alignment horizontal="right"/>
    </xf>
    <xf numFmtId="5" fontId="1" fillId="10" borderId="4" xfId="11" applyNumberFormat="1" applyFont="1" applyFill="1" applyBorder="1" applyProtection="1">
      <protection locked="0" hidden="1"/>
    </xf>
    <xf numFmtId="5" fontId="1" fillId="10" borderId="4" xfId="11" applyNumberFormat="1" applyFont="1" applyFill="1" applyBorder="1" applyProtection="1">
      <protection locked="0"/>
    </xf>
    <xf numFmtId="0" fontId="3" fillId="10" borderId="0" xfId="11" applyFont="1" applyFill="1" applyBorder="1" applyAlignment="1" applyProtection="1">
      <alignment horizontal="centerContinuous"/>
      <protection locked="0"/>
    </xf>
    <xf numFmtId="0" fontId="3" fillId="10" borderId="64" xfId="11" applyFont="1" applyFill="1" applyBorder="1" applyAlignment="1" applyProtection="1">
      <alignment horizontal="centerContinuous"/>
      <protection locked="0" hidden="1"/>
    </xf>
    <xf numFmtId="0" fontId="3" fillId="10" borderId="65" xfId="11" applyFont="1" applyFill="1" applyBorder="1" applyProtection="1">
      <protection locked="0" hidden="1"/>
    </xf>
    <xf numFmtId="37" fontId="3" fillId="10" borderId="65" xfId="11" applyNumberFormat="1" applyFont="1" applyFill="1" applyBorder="1" applyAlignment="1" applyProtection="1">
      <alignment horizontal="centerContinuous"/>
      <protection locked="0" hidden="1"/>
    </xf>
    <xf numFmtId="0" fontId="3" fillId="10" borderId="0" xfId="11" applyFont="1" applyFill="1" applyBorder="1" applyAlignment="1" applyProtection="1">
      <alignment horizontal="center"/>
      <protection locked="0"/>
    </xf>
    <xf numFmtId="0" fontId="2" fillId="10" borderId="0" xfId="9" applyFill="1" applyBorder="1"/>
    <xf numFmtId="0" fontId="2" fillId="10" borderId="68" xfId="9" applyFill="1" applyBorder="1"/>
    <xf numFmtId="0" fontId="13" fillId="10" borderId="69" xfId="11" applyFont="1" applyFill="1" applyBorder="1" applyAlignment="1" applyProtection="1">
      <alignment horizontal="left"/>
      <protection locked="0" hidden="1"/>
    </xf>
    <xf numFmtId="0" fontId="13" fillId="10" borderId="70" xfId="11" applyFont="1" applyFill="1" applyBorder="1" applyAlignment="1" applyProtection="1">
      <alignment horizontal="right"/>
      <protection locked="0"/>
    </xf>
    <xf numFmtId="0" fontId="13" fillId="10" borderId="71" xfId="11" applyFont="1" applyFill="1" applyBorder="1" applyAlignment="1" applyProtection="1">
      <alignment horizontal="right"/>
      <protection locked="0"/>
    </xf>
    <xf numFmtId="0" fontId="3" fillId="10" borderId="65" xfId="11" applyFont="1" applyFill="1" applyBorder="1" applyProtection="1">
      <protection locked="0"/>
    </xf>
    <xf numFmtId="0" fontId="3" fillId="10" borderId="65" xfId="11" applyFont="1" applyFill="1" applyBorder="1" applyAlignment="1" applyProtection="1">
      <alignment horizontal="center"/>
      <protection locked="0"/>
    </xf>
    <xf numFmtId="5" fontId="1" fillId="10" borderId="4" xfId="11" applyNumberFormat="1" applyFont="1" applyFill="1" applyBorder="1" applyProtection="1">
      <protection hidden="1"/>
    </xf>
    <xf numFmtId="5" fontId="1" fillId="10" borderId="4" xfId="11" applyNumberFormat="1" applyFont="1" applyFill="1" applyBorder="1" applyProtection="1"/>
    <xf numFmtId="0" fontId="1" fillId="10" borderId="4" xfId="11" applyFont="1" applyFill="1" applyBorder="1" applyAlignment="1" applyProtection="1">
      <alignment horizontal="center"/>
      <protection hidden="1"/>
    </xf>
    <xf numFmtId="0" fontId="3" fillId="10" borderId="65" xfId="11" applyFont="1" applyFill="1" applyBorder="1" applyAlignment="1" applyProtection="1">
      <alignment horizontal="center"/>
    </xf>
    <xf numFmtId="0" fontId="33" fillId="10" borderId="65" xfId="11" applyFont="1" applyFill="1" applyBorder="1" applyProtection="1">
      <protection hidden="1"/>
    </xf>
    <xf numFmtId="0" fontId="33" fillId="10" borderId="66" xfId="11" applyFont="1" applyFill="1" applyBorder="1" applyProtection="1">
      <protection hidden="1"/>
    </xf>
    <xf numFmtId="0" fontId="34" fillId="10" borderId="0" xfId="11" applyFont="1" applyFill="1" applyBorder="1" applyAlignment="1" applyProtection="1">
      <alignment horizontal="centerContinuous"/>
      <protection hidden="1"/>
    </xf>
    <xf numFmtId="0" fontId="8" fillId="10" borderId="68" xfId="7" applyFill="1" applyBorder="1" applyAlignment="1" applyProtection="1">
      <protection hidden="1"/>
    </xf>
    <xf numFmtId="0" fontId="8" fillId="10" borderId="0" xfId="7" applyFont="1" applyFill="1" applyBorder="1" applyAlignment="1" applyProtection="1">
      <protection hidden="1"/>
    </xf>
    <xf numFmtId="0" fontId="8" fillId="10" borderId="68" xfId="7" applyFont="1" applyFill="1" applyBorder="1" applyAlignment="1" applyProtection="1">
      <protection hidden="1"/>
    </xf>
    <xf numFmtId="0" fontId="21" fillId="10" borderId="0" xfId="11" applyFont="1" applyFill="1" applyBorder="1" applyAlignment="1" applyProtection="1">
      <alignment horizontal="centerContinuous"/>
    </xf>
    <xf numFmtId="0" fontId="3" fillId="10" borderId="65" xfId="11" applyFont="1" applyFill="1" applyBorder="1" applyAlignment="1" applyProtection="1">
      <alignment horizontal="centerContinuous"/>
      <protection hidden="1"/>
    </xf>
    <xf numFmtId="0" fontId="33" fillId="10" borderId="65" xfId="11" applyFont="1" applyFill="1" applyBorder="1" applyAlignment="1" applyProtection="1">
      <protection hidden="1"/>
    </xf>
    <xf numFmtId="0" fontId="33" fillId="10" borderId="66" xfId="11" applyFont="1" applyFill="1" applyBorder="1" applyAlignment="1" applyProtection="1">
      <alignment horizontal="centerContinuous"/>
      <protection hidden="1"/>
    </xf>
    <xf numFmtId="0" fontId="2" fillId="10" borderId="0" xfId="9" applyFill="1" applyBorder="1" applyProtection="1"/>
    <xf numFmtId="0" fontId="2" fillId="10" borderId="68" xfId="9" applyFill="1" applyBorder="1" applyProtection="1"/>
    <xf numFmtId="37" fontId="14" fillId="10" borderId="0" xfId="8" applyNumberFormat="1" applyFont="1" applyFill="1" applyBorder="1" applyAlignment="1" applyProtection="1">
      <alignment horizontal="center"/>
      <protection locked="0"/>
    </xf>
    <xf numFmtId="0" fontId="14" fillId="10" borderId="0" xfId="8" applyFont="1" applyFill="1" applyBorder="1" applyProtection="1">
      <protection locked="0"/>
    </xf>
    <xf numFmtId="0" fontId="14" fillId="10" borderId="0" xfId="8" applyFont="1" applyFill="1" applyBorder="1" applyAlignment="1" applyProtection="1">
      <alignment horizontal="center"/>
      <protection locked="0"/>
    </xf>
    <xf numFmtId="0" fontId="49" fillId="10" borderId="0" xfId="8" applyFont="1" applyFill="1" applyBorder="1" applyAlignment="1" applyProtection="1">
      <alignment horizontal="centerContinuous"/>
      <protection locked="0"/>
    </xf>
    <xf numFmtId="0" fontId="14" fillId="10" borderId="0" xfId="8" applyFont="1" applyFill="1" applyBorder="1" applyAlignment="1" applyProtection="1">
      <alignment horizontal="centerContinuous"/>
      <protection locked="0"/>
    </xf>
    <xf numFmtId="0" fontId="14" fillId="10" borderId="3" xfId="8" applyFont="1" applyFill="1" applyBorder="1" applyAlignment="1" applyProtection="1">
      <alignment horizontal="center"/>
      <protection locked="0"/>
    </xf>
    <xf numFmtId="37" fontId="14" fillId="10" borderId="3" xfId="8" applyNumberFormat="1" applyFont="1" applyFill="1" applyBorder="1" applyAlignment="1" applyProtection="1">
      <alignment horizontal="center"/>
      <protection locked="0"/>
    </xf>
    <xf numFmtId="0" fontId="14" fillId="10" borderId="3" xfId="8" applyFont="1" applyFill="1" applyBorder="1" applyAlignment="1" applyProtection="1">
      <alignment horizontal="centerContinuous"/>
      <protection locked="0"/>
    </xf>
    <xf numFmtId="0" fontId="55" fillId="10" borderId="0" xfId="8" applyFont="1" applyFill="1" applyBorder="1" applyProtection="1">
      <protection locked="0"/>
    </xf>
    <xf numFmtId="37" fontId="14" fillId="10" borderId="3" xfId="8" applyNumberFormat="1" applyFont="1" applyFill="1" applyBorder="1" applyAlignment="1" applyProtection="1">
      <alignment horizontal="centerContinuous"/>
      <protection locked="0"/>
    </xf>
    <xf numFmtId="0" fontId="3" fillId="10" borderId="4" xfId="8" applyFont="1" applyFill="1" applyBorder="1" applyAlignment="1" applyProtection="1">
      <alignment horizontal="center"/>
    </xf>
    <xf numFmtId="0" fontId="3" fillId="10" borderId="4" xfId="8" applyFont="1" applyFill="1" applyBorder="1" applyProtection="1">
      <protection locked="0"/>
    </xf>
    <xf numFmtId="37" fontId="3" fillId="10" borderId="4" xfId="8" applyNumberFormat="1" applyFont="1" applyFill="1" applyBorder="1" applyAlignment="1" applyProtection="1">
      <alignment horizontal="center"/>
      <protection locked="0"/>
    </xf>
    <xf numFmtId="0" fontId="3" fillId="10" borderId="20" xfId="8" applyFont="1" applyFill="1" applyBorder="1" applyAlignment="1" applyProtection="1">
      <alignment horizontal="center"/>
      <protection locked="0"/>
    </xf>
    <xf numFmtId="0" fontId="3" fillId="10" borderId="0" xfId="8" applyFont="1" applyFill="1" applyBorder="1" applyProtection="1">
      <protection locked="0"/>
    </xf>
    <xf numFmtId="37" fontId="3" fillId="10" borderId="0" xfId="8" applyNumberFormat="1" applyFont="1" applyFill="1" applyBorder="1" applyAlignment="1" applyProtection="1">
      <alignment horizontal="center"/>
      <protection locked="0"/>
    </xf>
    <xf numFmtId="0" fontId="3" fillId="10" borderId="10" xfId="8" applyFont="1" applyFill="1" applyBorder="1" applyAlignment="1" applyProtection="1">
      <alignment horizontal="center"/>
      <protection locked="0"/>
    </xf>
    <xf numFmtId="37" fontId="45" fillId="10" borderId="0" xfId="8" applyNumberFormat="1" applyFont="1" applyFill="1" applyBorder="1" applyProtection="1"/>
    <xf numFmtId="5" fontId="45" fillId="10" borderId="10" xfId="8" applyNumberFormat="1" applyFont="1" applyFill="1" applyBorder="1" applyProtection="1"/>
    <xf numFmtId="0" fontId="45" fillId="10" borderId="10" xfId="8" applyFont="1" applyFill="1" applyBorder="1" applyProtection="1">
      <protection locked="0"/>
    </xf>
    <xf numFmtId="37" fontId="45" fillId="8" borderId="1" xfId="8" applyNumberFormat="1" applyFont="1" applyFill="1" applyBorder="1" applyProtection="1">
      <protection locked="0"/>
    </xf>
    <xf numFmtId="37" fontId="45" fillId="10" borderId="10" xfId="8" applyNumberFormat="1" applyFont="1" applyFill="1" applyBorder="1" applyProtection="1">
      <protection locked="0"/>
    </xf>
    <xf numFmtId="37" fontId="45" fillId="10" borderId="3" xfId="8" applyNumberFormat="1" applyFont="1" applyFill="1" applyBorder="1" applyProtection="1"/>
    <xf numFmtId="7" fontId="45" fillId="10" borderId="3" xfId="8" applyNumberFormat="1" applyFont="1" applyFill="1" applyBorder="1" applyProtection="1"/>
    <xf numFmtId="5" fontId="45" fillId="10" borderId="2" xfId="8" applyNumberFormat="1" applyFont="1" applyFill="1" applyBorder="1" applyProtection="1"/>
    <xf numFmtId="5" fontId="45" fillId="10" borderId="21" xfId="8" applyNumberFormat="1" applyFont="1" applyFill="1" applyBorder="1" applyProtection="1"/>
    <xf numFmtId="37" fontId="45" fillId="10" borderId="10" xfId="8" applyNumberFormat="1" applyFont="1" applyFill="1" applyBorder="1" applyAlignment="1" applyProtection="1">
      <alignment horizontal="fill"/>
      <protection locked="0"/>
    </xf>
    <xf numFmtId="0" fontId="45" fillId="10" borderId="3" xfId="8" applyFont="1" applyFill="1" applyBorder="1" applyAlignment="1" applyProtection="1">
      <alignment horizontal="left"/>
      <protection locked="0"/>
    </xf>
    <xf numFmtId="0" fontId="45" fillId="10" borderId="3" xfId="8" applyFont="1" applyFill="1" applyBorder="1" applyProtection="1">
      <protection locked="0"/>
    </xf>
    <xf numFmtId="37" fontId="45" fillId="10" borderId="3" xfId="8" applyNumberFormat="1" applyFont="1" applyFill="1" applyBorder="1" applyProtection="1">
      <protection locked="0"/>
    </xf>
    <xf numFmtId="0" fontId="13" fillId="7" borderId="0" xfId="11" applyFont="1" applyFill="1" applyAlignment="1" applyProtection="1">
      <alignment horizontal="center"/>
      <protection locked="0"/>
    </xf>
    <xf numFmtId="171" fontId="13" fillId="7" borderId="0" xfId="11" applyNumberFormat="1" applyFont="1" applyFill="1" applyAlignment="1" applyProtection="1">
      <alignment horizontal="center"/>
      <protection locked="0"/>
    </xf>
    <xf numFmtId="0" fontId="1" fillId="7" borderId="0" xfId="11" applyFont="1" applyFill="1" applyAlignment="1" applyProtection="1">
      <alignment horizontal="right"/>
    </xf>
    <xf numFmtId="0" fontId="1" fillId="7" borderId="0" xfId="11" applyFont="1" applyFill="1" applyAlignment="1" applyProtection="1"/>
    <xf numFmtId="0" fontId="3" fillId="10" borderId="0" xfId="8" applyFont="1" applyFill="1" applyBorder="1" applyAlignment="1" applyProtection="1">
      <alignment horizontal="center" wrapText="1"/>
    </xf>
    <xf numFmtId="0" fontId="21" fillId="10" borderId="3" xfId="11" applyFont="1" applyFill="1" applyBorder="1" applyAlignment="1" applyProtection="1">
      <alignment horizontal="center"/>
    </xf>
    <xf numFmtId="37" fontId="3" fillId="10" borderId="3" xfId="11" applyNumberFormat="1" applyFont="1" applyFill="1" applyBorder="1" applyAlignment="1" applyProtection="1">
      <alignment horizontal="center"/>
    </xf>
    <xf numFmtId="0" fontId="1" fillId="10" borderId="3" xfId="11" applyFont="1" applyFill="1" applyBorder="1" applyProtection="1"/>
    <xf numFmtId="0" fontId="1" fillId="10" borderId="3" xfId="11" applyFont="1" applyFill="1" applyBorder="1" applyAlignment="1" applyProtection="1"/>
    <xf numFmtId="37" fontId="3" fillId="10" borderId="0" xfId="11" applyNumberFormat="1" applyFont="1" applyFill="1" applyBorder="1" applyAlignment="1" applyProtection="1">
      <alignment horizontal="centerContinuous"/>
    </xf>
    <xf numFmtId="0" fontId="24" fillId="10" borderId="0" xfId="11" applyFont="1" applyFill="1" applyBorder="1" applyAlignment="1" applyProtection="1">
      <alignment horizontal="center"/>
    </xf>
    <xf numFmtId="0" fontId="3" fillId="10" borderId="3" xfId="11" applyFont="1" applyFill="1" applyBorder="1" applyAlignment="1" applyProtection="1">
      <alignment horizontal="centerContinuous"/>
    </xf>
    <xf numFmtId="37" fontId="1" fillId="10" borderId="22" xfId="11" applyNumberFormat="1" applyFont="1" applyFill="1" applyBorder="1" applyProtection="1">
      <protection locked="0"/>
    </xf>
    <xf numFmtId="0" fontId="1" fillId="10" borderId="4" xfId="11" applyFont="1" applyFill="1" applyBorder="1" applyProtection="1">
      <protection locked="0"/>
    </xf>
    <xf numFmtId="0" fontId="13" fillId="10" borderId="3" xfId="11" applyFont="1" applyFill="1" applyBorder="1" applyProtection="1">
      <protection locked="0"/>
    </xf>
    <xf numFmtId="5" fontId="1" fillId="7" borderId="0" xfId="11" applyNumberFormat="1" applyFont="1" applyFill="1" applyProtection="1">
      <protection locked="0"/>
    </xf>
    <xf numFmtId="0" fontId="1" fillId="10" borderId="3" xfId="11" applyFont="1" applyFill="1" applyBorder="1" applyProtection="1">
      <protection locked="0"/>
    </xf>
    <xf numFmtId="37" fontId="1" fillId="10" borderId="23" xfId="11" applyNumberFormat="1" applyFont="1" applyFill="1" applyBorder="1" applyProtection="1">
      <protection locked="0"/>
    </xf>
    <xf numFmtId="0" fontId="1" fillId="10" borderId="23" xfId="11" applyFont="1" applyFill="1" applyBorder="1" applyProtection="1">
      <protection locked="0"/>
    </xf>
    <xf numFmtId="0" fontId="3" fillId="10" borderId="3" xfId="11" applyFont="1" applyFill="1" applyBorder="1" applyProtection="1">
      <protection locked="0"/>
    </xf>
    <xf numFmtId="5" fontId="3" fillId="10" borderId="3" xfId="11" applyNumberFormat="1" applyFont="1" applyFill="1" applyBorder="1" applyProtection="1"/>
    <xf numFmtId="5" fontId="3" fillId="10" borderId="3" xfId="11" applyNumberFormat="1" applyFont="1" applyFill="1" applyBorder="1" applyAlignment="1" applyProtection="1">
      <alignment horizontal="center"/>
    </xf>
    <xf numFmtId="0" fontId="1" fillId="10" borderId="64" xfId="11" applyFont="1" applyFill="1" applyBorder="1" applyAlignment="1" applyProtection="1">
      <alignment horizontal="centerContinuous"/>
    </xf>
    <xf numFmtId="0" fontId="3" fillId="10" borderId="65" xfId="8" applyFont="1" applyFill="1" applyBorder="1" applyAlignment="1" applyProtection="1">
      <alignment horizontal="center" wrapText="1"/>
    </xf>
    <xf numFmtId="0" fontId="3" fillId="10" borderId="65" xfId="8" applyFont="1" applyFill="1" applyBorder="1" applyAlignment="1" applyProtection="1">
      <alignment horizontal="center"/>
    </xf>
    <xf numFmtId="0" fontId="3" fillId="10" borderId="67" xfId="11" applyFont="1" applyFill="1" applyBorder="1" applyAlignment="1" applyProtection="1">
      <alignment horizontal="centerContinuous"/>
    </xf>
    <xf numFmtId="0" fontId="1" fillId="10" borderId="80" xfId="11" applyFont="1" applyFill="1" applyBorder="1" applyAlignment="1" applyProtection="1">
      <alignment horizontal="centerContinuous"/>
    </xf>
    <xf numFmtId="37" fontId="1" fillId="10" borderId="0" xfId="11" applyNumberFormat="1" applyFont="1" applyFill="1" applyBorder="1" applyAlignment="1" applyProtection="1">
      <alignment horizontal="right"/>
      <protection locked="0"/>
    </xf>
    <xf numFmtId="5" fontId="1" fillId="10" borderId="70" xfId="11" applyNumberFormat="1" applyFont="1" applyFill="1" applyBorder="1" applyProtection="1">
      <protection locked="0"/>
    </xf>
    <xf numFmtId="0" fontId="3" fillId="10" borderId="64" xfId="11" applyFont="1" applyFill="1" applyBorder="1" applyAlignment="1" applyProtection="1">
      <alignment horizontal="centerContinuous"/>
      <protection locked="0"/>
    </xf>
    <xf numFmtId="0" fontId="3" fillId="10" borderId="80" xfId="11" applyFont="1" applyFill="1" applyBorder="1" applyAlignment="1" applyProtection="1">
      <alignment horizontal="centerContinuous"/>
      <protection locked="0"/>
    </xf>
    <xf numFmtId="171" fontId="13" fillId="10" borderId="70" xfId="11" applyNumberFormat="1" applyFont="1" applyFill="1" applyBorder="1" applyAlignment="1" applyProtection="1">
      <alignment horizontal="center"/>
      <protection locked="0"/>
    </xf>
    <xf numFmtId="37" fontId="1" fillId="10" borderId="22" xfId="11" applyNumberFormat="1" applyFont="1" applyFill="1" applyBorder="1" applyProtection="1"/>
    <xf numFmtId="37" fontId="1" fillId="10" borderId="0" xfId="11" applyNumberFormat="1" applyFont="1" applyFill="1" applyBorder="1" applyAlignment="1" applyProtection="1">
      <alignment horizontal="right"/>
    </xf>
    <xf numFmtId="0" fontId="1" fillId="10" borderId="4" xfId="11" applyFont="1" applyFill="1" applyBorder="1" applyProtection="1"/>
    <xf numFmtId="5" fontId="13" fillId="7" borderId="0" xfId="6" applyFont="1" applyFill="1" applyProtection="1">
      <protection locked="0"/>
    </xf>
    <xf numFmtId="10" fontId="2" fillId="7" borderId="0" xfId="12" applyNumberFormat="1" applyFont="1" applyFill="1" applyProtection="1">
      <protection locked="0"/>
    </xf>
    <xf numFmtId="0" fontId="1" fillId="7" borderId="0" xfId="11" applyFont="1" applyFill="1" applyBorder="1" applyAlignment="1" applyProtection="1">
      <alignment horizontal="centerContinuous"/>
    </xf>
    <xf numFmtId="0" fontId="13" fillId="10" borderId="64" xfId="11" applyFont="1" applyFill="1" applyBorder="1" applyAlignment="1" applyProtection="1">
      <protection locked="0"/>
    </xf>
    <xf numFmtId="0" fontId="2" fillId="10" borderId="65" xfId="11" applyFont="1" applyFill="1" applyBorder="1" applyAlignment="1" applyProtection="1">
      <alignment horizontal="centerContinuous"/>
      <protection locked="0"/>
    </xf>
    <xf numFmtId="0" fontId="3" fillId="10" borderId="68" xfId="11" applyFont="1" applyFill="1" applyBorder="1" applyAlignment="1" applyProtection="1">
      <alignment horizontal="centerContinuous"/>
      <protection locked="0"/>
    </xf>
    <xf numFmtId="5" fontId="13" fillId="10" borderId="68" xfId="6" applyFont="1" applyFill="1" applyBorder="1" applyProtection="1">
      <protection locked="0"/>
    </xf>
    <xf numFmtId="37" fontId="13" fillId="10" borderId="68" xfId="11" applyNumberFormat="1" applyFont="1" applyFill="1" applyBorder="1" applyProtection="1">
      <protection locked="0"/>
    </xf>
    <xf numFmtId="0" fontId="2" fillId="10" borderId="68" xfId="11" applyFont="1" applyFill="1" applyBorder="1" applyAlignment="1" applyProtection="1">
      <alignment horizontal="centerContinuous"/>
      <protection locked="0"/>
    </xf>
    <xf numFmtId="0" fontId="13" fillId="10" borderId="68" xfId="11" applyFont="1" applyFill="1" applyBorder="1" applyProtection="1">
      <protection locked="0"/>
    </xf>
    <xf numFmtId="10" fontId="2" fillId="10" borderId="68" xfId="12" applyNumberFormat="1" applyFont="1" applyFill="1" applyBorder="1" applyProtection="1">
      <protection locked="0"/>
    </xf>
    <xf numFmtId="0" fontId="45" fillId="10" borderId="67" xfId="11" applyFont="1" applyFill="1" applyBorder="1" applyProtection="1">
      <protection locked="0"/>
    </xf>
    <xf numFmtId="0" fontId="48" fillId="10" borderId="0" xfId="11" applyFont="1" applyFill="1" applyBorder="1" applyAlignment="1" applyProtection="1">
      <alignment horizontal="centerContinuous"/>
      <protection locked="0"/>
    </xf>
    <xf numFmtId="0" fontId="14" fillId="10" borderId="67" xfId="11" applyFont="1" applyFill="1" applyBorder="1" applyProtection="1">
      <protection locked="0"/>
    </xf>
    <xf numFmtId="0" fontId="45" fillId="10" borderId="0" xfId="11" applyFont="1" applyFill="1" applyBorder="1" applyAlignment="1" applyProtection="1">
      <alignment horizontal="right"/>
      <protection locked="0"/>
    </xf>
    <xf numFmtId="37" fontId="45" fillId="10" borderId="0" xfId="6" applyNumberFormat="1" applyFont="1" applyFill="1" applyBorder="1" applyProtection="1"/>
    <xf numFmtId="37" fontId="45" fillId="10" borderId="3" xfId="6" applyNumberFormat="1" applyFont="1" applyFill="1" applyBorder="1" applyProtection="1"/>
    <xf numFmtId="5" fontId="45" fillId="10" borderId="2" xfId="6" applyFont="1" applyFill="1" applyBorder="1" applyProtection="1"/>
    <xf numFmtId="0" fontId="45" fillId="10" borderId="80" xfId="11" applyFont="1" applyFill="1" applyBorder="1" applyProtection="1">
      <protection locked="0"/>
    </xf>
    <xf numFmtId="0" fontId="45" fillId="10" borderId="3" xfId="11" applyFont="1" applyFill="1" applyBorder="1" applyProtection="1">
      <protection locked="0"/>
    </xf>
    <xf numFmtId="0" fontId="45" fillId="10" borderId="3" xfId="11" applyFont="1" applyFill="1" applyBorder="1" applyAlignment="1" applyProtection="1">
      <alignment horizontal="right"/>
      <protection locked="0"/>
    </xf>
    <xf numFmtId="37" fontId="45" fillId="10" borderId="0" xfId="11" applyNumberFormat="1" applyFont="1" applyFill="1" applyBorder="1" applyAlignment="1" applyProtection="1">
      <alignment horizontal="right"/>
      <protection locked="0"/>
    </xf>
    <xf numFmtId="5" fontId="45" fillId="10" borderId="0" xfId="6" applyFont="1" applyFill="1" applyBorder="1" applyAlignment="1" applyProtection="1">
      <alignment horizontal="right"/>
      <protection locked="0"/>
    </xf>
    <xf numFmtId="5" fontId="45" fillId="10" borderId="24" xfId="6" applyFont="1" applyFill="1" applyBorder="1" applyProtection="1"/>
    <xf numFmtId="10" fontId="45" fillId="10" borderId="3" xfId="12" applyNumberFormat="1" applyFont="1" applyFill="1" applyBorder="1" applyProtection="1">
      <protection locked="0"/>
    </xf>
    <xf numFmtId="9" fontId="45" fillId="10" borderId="0" xfId="12" applyFont="1" applyFill="1" applyBorder="1" applyProtection="1">
      <protection locked="0"/>
    </xf>
    <xf numFmtId="0" fontId="14" fillId="10" borderId="0" xfId="11" applyFont="1" applyFill="1" applyBorder="1" applyProtection="1"/>
    <xf numFmtId="10" fontId="45" fillId="10" borderId="3" xfId="12" applyNumberFormat="1" applyFont="1" applyFill="1" applyBorder="1" applyProtection="1"/>
    <xf numFmtId="0" fontId="45" fillId="10" borderId="3" xfId="11" applyFont="1" applyFill="1" applyBorder="1" applyProtection="1"/>
    <xf numFmtId="0" fontId="49" fillId="10" borderId="0" xfId="11" applyFont="1" applyFill="1" applyBorder="1" applyAlignment="1" applyProtection="1">
      <alignment horizontal="centerContinuous"/>
    </xf>
    <xf numFmtId="0" fontId="45" fillId="10" borderId="0" xfId="11" applyFont="1" applyFill="1" applyBorder="1" applyAlignment="1" applyProtection="1">
      <alignment horizontal="centerContinuous"/>
    </xf>
    <xf numFmtId="0" fontId="45" fillId="10" borderId="0" xfId="11" applyNumberFormat="1" applyFont="1" applyFill="1" applyBorder="1" applyProtection="1"/>
    <xf numFmtId="0" fontId="13" fillId="10" borderId="69" xfId="11" applyFont="1" applyFill="1" applyBorder="1" applyAlignment="1" applyProtection="1">
      <protection locked="0"/>
    </xf>
    <xf numFmtId="0" fontId="1" fillId="10" borderId="67" xfId="11" applyFont="1" applyFill="1" applyBorder="1" applyAlignment="1" applyProtection="1">
      <protection locked="0"/>
    </xf>
    <xf numFmtId="0" fontId="45" fillId="10" borderId="64" xfId="11" applyFont="1" applyFill="1" applyBorder="1" applyAlignment="1" applyProtection="1">
      <alignment horizontal="centerContinuous"/>
      <protection locked="0"/>
    </xf>
    <xf numFmtId="0" fontId="49" fillId="10" borderId="67" xfId="11" applyFont="1" applyFill="1" applyBorder="1" applyAlignment="1" applyProtection="1">
      <protection locked="0"/>
    </xf>
    <xf numFmtId="0" fontId="49" fillId="10" borderId="3" xfId="11" applyFont="1" applyFill="1" applyBorder="1" applyAlignment="1" applyProtection="1">
      <alignment horizontal="left"/>
      <protection locked="0"/>
    </xf>
    <xf numFmtId="0" fontId="49" fillId="10" borderId="3" xfId="11" applyFont="1" applyFill="1" applyBorder="1" applyAlignment="1" applyProtection="1">
      <alignment horizontal="center"/>
      <protection locked="0"/>
    </xf>
    <xf numFmtId="0" fontId="49" fillId="10" borderId="3" xfId="11" applyFont="1" applyFill="1" applyBorder="1" applyAlignment="1" applyProtection="1">
      <alignment horizontal="centerContinuous"/>
      <protection locked="0"/>
    </xf>
    <xf numFmtId="0" fontId="52" fillId="10" borderId="67" xfId="11" applyFont="1" applyFill="1" applyBorder="1" applyProtection="1">
      <protection locked="0"/>
    </xf>
    <xf numFmtId="0" fontId="45" fillId="10" borderId="0" xfId="11" applyFont="1" applyFill="1" applyBorder="1" applyAlignment="1" applyProtection="1"/>
    <xf numFmtId="5" fontId="45" fillId="10" borderId="0" xfId="6" applyNumberFormat="1" applyFont="1" applyFill="1" applyBorder="1" applyProtection="1">
      <protection locked="0"/>
    </xf>
    <xf numFmtId="0" fontId="45" fillId="10" borderId="0" xfId="11" applyFont="1" applyFill="1" applyBorder="1" applyAlignment="1" applyProtection="1">
      <alignment horizontal="left"/>
    </xf>
    <xf numFmtId="0" fontId="45" fillId="10" borderId="0" xfId="8" applyFont="1" applyFill="1" applyBorder="1" applyAlignment="1" applyProtection="1">
      <alignment horizontal="right"/>
    </xf>
    <xf numFmtId="0" fontId="45" fillId="10" borderId="4" xfId="11" applyFont="1" applyFill="1" applyBorder="1" applyProtection="1">
      <protection locked="0"/>
    </xf>
    <xf numFmtId="0" fontId="45" fillId="10" borderId="0" xfId="11" applyFont="1" applyFill="1" applyBorder="1" applyAlignment="1" applyProtection="1">
      <alignment horizontal="right"/>
    </xf>
    <xf numFmtId="37" fontId="45" fillId="10" borderId="0" xfId="6" quotePrefix="1" applyNumberFormat="1" applyFont="1" applyFill="1" applyBorder="1" applyProtection="1"/>
    <xf numFmtId="0" fontId="52" fillId="10" borderId="0" xfId="11" applyFont="1" applyFill="1" applyBorder="1" applyProtection="1">
      <protection locked="0"/>
    </xf>
    <xf numFmtId="37" fontId="45" fillId="10" borderId="0" xfId="6" applyNumberFormat="1" applyFont="1" applyFill="1" applyBorder="1" applyProtection="1">
      <protection locked="0"/>
    </xf>
    <xf numFmtId="0" fontId="49" fillId="10" borderId="67" xfId="11" applyFont="1" applyFill="1" applyBorder="1" applyProtection="1">
      <protection locked="0"/>
    </xf>
    <xf numFmtId="37" fontId="45" fillId="8" borderId="1" xfId="11" applyNumberFormat="1" applyFont="1" applyFill="1" applyBorder="1" applyAlignment="1" applyProtection="1">
      <protection locked="0"/>
    </xf>
    <xf numFmtId="0" fontId="1" fillId="10" borderId="68" xfId="8" applyFont="1" applyFill="1" applyBorder="1" applyProtection="1">
      <protection locked="0"/>
    </xf>
    <xf numFmtId="0" fontId="45" fillId="12" borderId="0" xfId="11" applyFont="1" applyFill="1" applyBorder="1" applyAlignment="1" applyProtection="1">
      <protection locked="0"/>
    </xf>
    <xf numFmtId="0" fontId="45" fillId="12" borderId="0" xfId="11" applyFont="1" applyFill="1" applyBorder="1" applyProtection="1">
      <protection locked="0"/>
    </xf>
    <xf numFmtId="0" fontId="45" fillId="12" borderId="0" xfId="11" applyFont="1" applyFill="1" applyBorder="1" applyAlignment="1" applyProtection="1">
      <alignment horizontal="centerContinuous"/>
      <protection locked="0"/>
    </xf>
    <xf numFmtId="5" fontId="45" fillId="10" borderId="0" xfId="11" applyNumberFormat="1" applyFont="1" applyFill="1" applyBorder="1" applyAlignment="1" applyProtection="1">
      <alignment horizontal="right"/>
    </xf>
    <xf numFmtId="5" fontId="45" fillId="10" borderId="0" xfId="6" applyNumberFormat="1" applyFont="1" applyFill="1" applyBorder="1" applyProtection="1"/>
    <xf numFmtId="0" fontId="14" fillId="10" borderId="0" xfId="11" applyFont="1" applyFill="1" applyBorder="1" applyAlignment="1" applyProtection="1">
      <alignment horizontal="right"/>
      <protection locked="0"/>
    </xf>
    <xf numFmtId="37" fontId="45" fillId="10" borderId="0" xfId="11" applyNumberFormat="1" applyFont="1" applyFill="1" applyBorder="1" applyAlignment="1" applyProtection="1">
      <alignment horizontal="centerContinuous"/>
      <protection locked="0"/>
    </xf>
    <xf numFmtId="0" fontId="49" fillId="10" borderId="0" xfId="11" applyFont="1" applyFill="1" applyBorder="1" applyAlignment="1" applyProtection="1">
      <alignment horizontal="center"/>
      <protection locked="0"/>
    </xf>
    <xf numFmtId="5" fontId="45" fillId="10" borderId="25" xfId="11" applyNumberFormat="1" applyFont="1" applyFill="1" applyBorder="1" applyProtection="1"/>
    <xf numFmtId="37" fontId="1" fillId="7" borderId="0" xfId="6" quotePrefix="1" applyNumberFormat="1" applyFont="1" applyFill="1" applyProtection="1"/>
    <xf numFmtId="0" fontId="1" fillId="7" borderId="0" xfId="11" applyFont="1" applyFill="1" applyBorder="1" applyProtection="1"/>
    <xf numFmtId="0" fontId="1" fillId="7" borderId="0" xfId="8" applyFill="1"/>
    <xf numFmtId="0" fontId="1" fillId="7" borderId="0" xfId="8" applyFill="1" applyBorder="1"/>
    <xf numFmtId="0" fontId="1" fillId="10" borderId="0" xfId="8" applyFill="1" applyBorder="1"/>
    <xf numFmtId="0" fontId="1" fillId="10" borderId="0" xfId="8" applyFill="1"/>
    <xf numFmtId="0" fontId="1" fillId="10" borderId="1" xfId="8" applyFill="1" applyBorder="1"/>
    <xf numFmtId="0" fontId="3" fillId="10" borderId="5" xfId="8" applyFont="1" applyFill="1" applyBorder="1"/>
    <xf numFmtId="0" fontId="3" fillId="10" borderId="5" xfId="8" applyFont="1" applyFill="1" applyBorder="1" applyAlignment="1">
      <alignment horizontal="center"/>
    </xf>
    <xf numFmtId="0" fontId="3" fillId="10" borderId="6" xfId="8" applyFont="1" applyFill="1" applyBorder="1" applyAlignment="1">
      <alignment horizontal="center"/>
    </xf>
    <xf numFmtId="0" fontId="3" fillId="10" borderId="7" xfId="8" applyFont="1" applyFill="1" applyBorder="1" applyAlignment="1">
      <alignment horizontal="center"/>
    </xf>
    <xf numFmtId="0" fontId="3" fillId="10" borderId="7" xfId="8" quotePrefix="1" applyFont="1" applyFill="1" applyBorder="1" applyAlignment="1">
      <alignment horizontal="center"/>
    </xf>
    <xf numFmtId="0" fontId="1" fillId="10" borderId="64" xfId="8" applyFill="1" applyBorder="1"/>
    <xf numFmtId="0" fontId="1" fillId="10" borderId="66" xfId="8" applyFill="1" applyBorder="1"/>
    <xf numFmtId="0" fontId="1" fillId="10" borderId="67" xfId="8" applyFill="1" applyBorder="1"/>
    <xf numFmtId="0" fontId="1" fillId="10" borderId="68" xfId="8" applyFill="1" applyBorder="1"/>
    <xf numFmtId="0" fontId="2" fillId="10" borderId="0" xfId="8" applyFont="1" applyFill="1" applyBorder="1"/>
    <xf numFmtId="0" fontId="2" fillId="10" borderId="67" xfId="8" applyFont="1" applyFill="1" applyBorder="1"/>
    <xf numFmtId="0" fontId="3" fillId="10" borderId="0" xfId="8" applyFont="1" applyFill="1" applyBorder="1"/>
    <xf numFmtId="0" fontId="1" fillId="10" borderId="69" xfId="8" applyFill="1" applyBorder="1"/>
    <xf numFmtId="0" fontId="1" fillId="10" borderId="70" xfId="8" applyFill="1" applyBorder="1"/>
    <xf numFmtId="0" fontId="1" fillId="10" borderId="71" xfId="8" applyFill="1" applyBorder="1"/>
    <xf numFmtId="0" fontId="1" fillId="7" borderId="0" xfId="8" applyFont="1" applyFill="1" applyProtection="1"/>
    <xf numFmtId="0" fontId="1" fillId="7" borderId="0" xfId="8" applyFill="1" applyAlignment="1">
      <alignment horizontal="right"/>
    </xf>
    <xf numFmtId="0" fontId="1" fillId="8" borderId="1" xfId="8" applyFill="1" applyBorder="1" applyProtection="1">
      <protection locked="0"/>
    </xf>
    <xf numFmtId="0" fontId="13" fillId="7" borderId="0" xfId="11" applyFont="1" applyFill="1" applyBorder="1" applyAlignment="1" applyProtection="1">
      <alignment horizontal="centerContinuous" wrapText="1"/>
      <protection locked="0"/>
    </xf>
    <xf numFmtId="38" fontId="13" fillId="7" borderId="0" xfId="11" applyNumberFormat="1" applyFont="1" applyFill="1" applyBorder="1" applyAlignment="1" applyProtection="1">
      <alignment horizontal="centerContinuous"/>
      <protection locked="0"/>
    </xf>
    <xf numFmtId="38" fontId="2" fillId="7" borderId="0" xfId="11" applyNumberFormat="1" applyFont="1" applyFill="1" applyBorder="1" applyAlignment="1" applyProtection="1">
      <alignment horizontal="centerContinuous"/>
      <protection locked="0"/>
    </xf>
    <xf numFmtId="38" fontId="2" fillId="7" borderId="0" xfId="11" applyNumberFormat="1" applyFont="1" applyFill="1" applyBorder="1" applyProtection="1">
      <protection locked="0"/>
    </xf>
    <xf numFmtId="0" fontId="8" fillId="10" borderId="64" xfId="7" applyFill="1" applyBorder="1" applyAlignment="1" applyProtection="1">
      <protection locked="0"/>
    </xf>
    <xf numFmtId="0" fontId="2" fillId="10" borderId="67" xfId="8" applyFont="1" applyFill="1" applyBorder="1" applyAlignment="1">
      <alignment horizontal="right"/>
    </xf>
    <xf numFmtId="0" fontId="1" fillId="10" borderId="67" xfId="8" applyFill="1" applyBorder="1" applyAlignment="1">
      <alignment horizontal="right"/>
    </xf>
    <xf numFmtId="0" fontId="2" fillId="10" borderId="67" xfId="8" applyFont="1" applyFill="1" applyBorder="1" applyAlignment="1">
      <alignment horizontal="left"/>
    </xf>
    <xf numFmtId="0" fontId="1" fillId="10" borderId="69" xfId="8" applyFill="1" applyBorder="1" applyAlignment="1">
      <alignment horizontal="right"/>
    </xf>
    <xf numFmtId="0" fontId="1" fillId="10" borderId="67" xfId="8" applyFont="1" applyFill="1" applyBorder="1" applyAlignment="1">
      <alignment horizontal="left"/>
    </xf>
    <xf numFmtId="14" fontId="1" fillId="8" borderId="1" xfId="8" applyNumberFormat="1" applyFill="1" applyBorder="1" applyProtection="1">
      <protection locked="0"/>
    </xf>
    <xf numFmtId="38" fontId="1" fillId="7" borderId="0" xfId="11" applyNumberFormat="1" applyFont="1" applyFill="1" applyProtection="1"/>
    <xf numFmtId="38" fontId="1" fillId="7" borderId="0" xfId="11" applyNumberFormat="1" applyFont="1" applyFill="1" applyAlignment="1" applyProtection="1">
      <alignment horizontal="right"/>
      <protection locked="0"/>
    </xf>
    <xf numFmtId="38" fontId="1" fillId="7" borderId="0" xfId="11" applyNumberFormat="1" applyFont="1" applyFill="1" applyProtection="1">
      <protection locked="0"/>
    </xf>
    <xf numFmtId="0" fontId="3" fillId="7" borderId="0" xfId="11" applyNumberFormat="1" applyFont="1" applyFill="1" applyBorder="1" applyAlignment="1" applyProtection="1">
      <alignment horizontal="center" wrapText="1"/>
    </xf>
    <xf numFmtId="0" fontId="1" fillId="10" borderId="67" xfId="8" applyFont="1" applyFill="1" applyBorder="1" applyAlignment="1">
      <alignment horizontal="right"/>
    </xf>
    <xf numFmtId="0" fontId="83" fillId="10" borderId="0" xfId="8" applyFont="1" applyFill="1" applyBorder="1" applyAlignment="1" applyProtection="1">
      <alignment horizontal="center"/>
      <protection locked="0"/>
    </xf>
    <xf numFmtId="37" fontId="3" fillId="10" borderId="3" xfId="11" applyNumberFormat="1" applyFont="1" applyFill="1" applyBorder="1" applyAlignment="1" applyProtection="1">
      <alignment horizontal="centerContinuous"/>
    </xf>
    <xf numFmtId="0" fontId="1" fillId="7" borderId="0" xfId="8" applyFill="1" applyProtection="1">
      <protection locked="0"/>
    </xf>
    <xf numFmtId="0" fontId="3" fillId="7" borderId="0" xfId="8" applyFont="1" applyFill="1" applyProtection="1">
      <protection locked="0"/>
    </xf>
    <xf numFmtId="0" fontId="2" fillId="10" borderId="12" xfId="8" applyFont="1" applyFill="1" applyBorder="1" applyProtection="1">
      <protection locked="0"/>
    </xf>
    <xf numFmtId="0" fontId="1" fillId="10" borderId="0" xfId="8" applyFill="1" applyBorder="1" applyProtection="1">
      <protection locked="0"/>
    </xf>
    <xf numFmtId="0" fontId="2" fillId="10" borderId="64" xfId="8" applyFont="1" applyFill="1" applyBorder="1" applyProtection="1">
      <protection locked="0"/>
    </xf>
    <xf numFmtId="0" fontId="1" fillId="10" borderId="66" xfId="8" applyFill="1" applyBorder="1" applyProtection="1">
      <protection locked="0"/>
    </xf>
    <xf numFmtId="0" fontId="1" fillId="10" borderId="67" xfId="8" applyFill="1" applyBorder="1" applyProtection="1">
      <protection locked="0"/>
    </xf>
    <xf numFmtId="0" fontId="1" fillId="10" borderId="68" xfId="8" applyFill="1" applyBorder="1" applyProtection="1">
      <protection locked="0"/>
    </xf>
    <xf numFmtId="0" fontId="1" fillId="10" borderId="69" xfId="8" applyFill="1" applyBorder="1" applyProtection="1">
      <protection locked="0"/>
    </xf>
    <xf numFmtId="0" fontId="1" fillId="10" borderId="70" xfId="8" applyFill="1" applyBorder="1" applyProtection="1">
      <protection locked="0"/>
    </xf>
    <xf numFmtId="0" fontId="1" fillId="10" borderId="71" xfId="8" applyFill="1" applyBorder="1" applyProtection="1">
      <protection locked="0"/>
    </xf>
    <xf numFmtId="0" fontId="15" fillId="10" borderId="0" xfId="8" applyFont="1" applyFill="1" applyBorder="1" applyAlignment="1" applyProtection="1">
      <alignment horizontal="left" vertical="top" wrapText="1"/>
      <protection locked="0"/>
    </xf>
    <xf numFmtId="0" fontId="1" fillId="10" borderId="1" xfId="8" applyFont="1" applyFill="1" applyBorder="1" applyProtection="1"/>
    <xf numFmtId="0" fontId="2" fillId="10" borderId="1" xfId="8" applyFont="1" applyFill="1" applyBorder="1" applyAlignment="1" applyProtection="1">
      <alignment horizontal="center"/>
    </xf>
    <xf numFmtId="0" fontId="1" fillId="10" borderId="1" xfId="8" applyFont="1" applyFill="1" applyBorder="1" applyAlignment="1" applyProtection="1">
      <alignment horizontal="center"/>
    </xf>
    <xf numFmtId="0" fontId="3" fillId="10" borderId="0" xfId="8" applyFont="1" applyFill="1" applyBorder="1" applyAlignment="1">
      <alignment horizontal="left"/>
    </xf>
    <xf numFmtId="0" fontId="1" fillId="10" borderId="12" xfId="8" applyFont="1" applyFill="1" applyBorder="1" applyAlignment="1"/>
    <xf numFmtId="0" fontId="2" fillId="10" borderId="0" xfId="8" applyFont="1" applyFill="1" applyBorder="1" applyAlignment="1">
      <alignment horizontal="left" indent="7"/>
    </xf>
    <xf numFmtId="0" fontId="6" fillId="10" borderId="0" xfId="8" applyFont="1" applyFill="1" applyBorder="1"/>
    <xf numFmtId="0" fontId="2" fillId="10" borderId="0" xfId="8" applyFont="1" applyFill="1" applyBorder="1" applyAlignment="1">
      <alignment horizontal="left" vertical="top"/>
    </xf>
    <xf numFmtId="0" fontId="3" fillId="10" borderId="0" xfId="8" applyFont="1" applyFill="1" applyBorder="1" applyAlignment="1"/>
    <xf numFmtId="0" fontId="22" fillId="7" borderId="0" xfId="11" applyFont="1" applyFill="1" applyAlignment="1" applyProtection="1">
      <alignment horizontal="left"/>
      <protection locked="0"/>
    </xf>
    <xf numFmtId="0" fontId="2" fillId="10" borderId="0" xfId="11" applyFont="1" applyFill="1" applyProtection="1">
      <protection locked="0"/>
    </xf>
    <xf numFmtId="0" fontId="2" fillId="10" borderId="67" xfId="11" applyFont="1" applyFill="1" applyBorder="1" applyAlignment="1" applyProtection="1">
      <alignment horizontal="centerContinuous"/>
      <protection locked="0"/>
    </xf>
    <xf numFmtId="37" fontId="13" fillId="10" borderId="0" xfId="11" applyNumberFormat="1" applyFont="1" applyFill="1" applyBorder="1" applyProtection="1">
      <protection locked="0"/>
    </xf>
    <xf numFmtId="0" fontId="13" fillId="10" borderId="0" xfId="11" applyFont="1" applyFill="1" applyBorder="1" applyAlignment="1" applyProtection="1">
      <alignment horizontal="right"/>
      <protection locked="0"/>
    </xf>
    <xf numFmtId="0" fontId="13" fillId="10" borderId="0" xfId="11" applyFont="1" applyFill="1" applyBorder="1" applyAlignment="1" applyProtection="1">
      <alignment horizontal="center"/>
      <protection locked="0"/>
    </xf>
    <xf numFmtId="0" fontId="1" fillId="10" borderId="0" xfId="8" applyFont="1" applyFill="1" applyBorder="1" applyAlignment="1" applyProtection="1">
      <alignment horizontal="center" vertical="center" wrapText="1"/>
      <protection locked="0"/>
    </xf>
    <xf numFmtId="0" fontId="21" fillId="10" borderId="3" xfId="11" applyFont="1" applyFill="1" applyBorder="1" applyAlignment="1" applyProtection="1">
      <alignment horizontal="center"/>
      <protection locked="0"/>
    </xf>
    <xf numFmtId="0" fontId="3" fillId="10" borderId="3" xfId="11" applyFont="1" applyFill="1" applyBorder="1" applyAlignment="1" applyProtection="1">
      <alignment horizontal="center"/>
      <protection locked="0"/>
    </xf>
    <xf numFmtId="5" fontId="1" fillId="8" borderId="1" xfId="11" applyNumberFormat="1" applyFont="1" applyFill="1" applyBorder="1" applyProtection="1">
      <protection locked="0"/>
    </xf>
    <xf numFmtId="37" fontId="1" fillId="8" borderId="1" xfId="11" applyNumberFormat="1" applyFont="1" applyFill="1" applyBorder="1" applyProtection="1">
      <protection locked="0"/>
    </xf>
    <xf numFmtId="0" fontId="1" fillId="10" borderId="4" xfId="11" applyFont="1" applyFill="1" applyBorder="1" applyProtection="1">
      <protection locked="0"/>
    </xf>
    <xf numFmtId="0" fontId="1" fillId="10" borderId="0" xfId="11" applyFont="1" applyFill="1" applyBorder="1" applyAlignment="1" applyProtection="1">
      <protection locked="0"/>
    </xf>
    <xf numFmtId="37" fontId="1" fillId="10" borderId="0" xfId="11" applyNumberFormat="1" applyFont="1" applyFill="1" applyBorder="1" applyAlignment="1" applyProtection="1">
      <protection locked="0"/>
    </xf>
    <xf numFmtId="0" fontId="1" fillId="10" borderId="67" xfId="11" applyFont="1" applyFill="1" applyBorder="1" applyAlignment="1" applyProtection="1">
      <alignment horizontal="left"/>
      <protection locked="0"/>
    </xf>
    <xf numFmtId="0" fontId="1" fillId="10" borderId="0" xfId="11" applyFont="1" applyFill="1" applyBorder="1" applyAlignment="1" applyProtection="1">
      <alignment horizontal="right"/>
      <protection locked="0"/>
    </xf>
    <xf numFmtId="0" fontId="1" fillId="10" borderId="71" xfId="11" applyFont="1" applyFill="1" applyBorder="1" applyProtection="1">
      <protection locked="0"/>
    </xf>
    <xf numFmtId="171" fontId="3" fillId="10" borderId="0" xfId="11" applyNumberFormat="1" applyFont="1" applyFill="1" applyBorder="1" applyAlignment="1" applyProtection="1">
      <alignment horizontal="center"/>
      <protection locked="0"/>
    </xf>
    <xf numFmtId="0" fontId="3" fillId="10" borderId="0" xfId="11" applyFont="1" applyFill="1" applyBorder="1" applyAlignment="1" applyProtection="1">
      <alignment vertical="center" wrapText="1"/>
      <protection locked="0"/>
    </xf>
    <xf numFmtId="0" fontId="3" fillId="10" borderId="0" xfId="8" applyFont="1" applyFill="1" applyBorder="1" applyAlignment="1" applyProtection="1">
      <alignment vertical="center" wrapText="1"/>
      <protection locked="0"/>
    </xf>
    <xf numFmtId="171" fontId="3" fillId="10" borderId="0" xfId="11" applyNumberFormat="1" applyFont="1" applyFill="1" applyBorder="1" applyAlignment="1" applyProtection="1">
      <alignment horizontal="center"/>
    </xf>
    <xf numFmtId="0" fontId="1" fillId="10" borderId="0" xfId="8" applyFont="1" applyFill="1" applyBorder="1" applyAlignment="1" applyProtection="1">
      <alignment horizontal="center" vertical="center" wrapText="1"/>
    </xf>
    <xf numFmtId="0" fontId="1" fillId="10" borderId="0" xfId="11" applyFont="1" applyFill="1" applyBorder="1" applyAlignment="1" applyProtection="1">
      <alignment horizontal="right"/>
    </xf>
    <xf numFmtId="0" fontId="3" fillId="7" borderId="0" xfId="8" applyFont="1" applyFill="1" applyAlignment="1" applyProtection="1">
      <protection hidden="1"/>
    </xf>
    <xf numFmtId="0" fontId="4" fillId="7" borderId="0" xfId="11" applyFont="1" applyFill="1" applyAlignment="1" applyProtection="1">
      <alignment horizontal="left"/>
    </xf>
    <xf numFmtId="37" fontId="3" fillId="7" borderId="0" xfId="8" applyNumberFormat="1" applyFont="1" applyFill="1" applyAlignment="1" applyProtection="1">
      <alignment horizontal="center"/>
      <protection hidden="1"/>
    </xf>
    <xf numFmtId="0" fontId="1" fillId="7" borderId="0" xfId="11" applyFont="1" applyFill="1" applyAlignment="1" applyProtection="1">
      <alignment horizontal="left"/>
    </xf>
    <xf numFmtId="0" fontId="1" fillId="7" borderId="0" xfId="8" applyFont="1" applyFill="1" applyAlignment="1" applyProtection="1"/>
    <xf numFmtId="0" fontId="3" fillId="10" borderId="3" xfId="11" applyFont="1" applyFill="1" applyBorder="1" applyAlignment="1" applyProtection="1">
      <alignment horizontal="center"/>
    </xf>
    <xf numFmtId="0" fontId="1" fillId="10" borderId="3" xfId="11" applyFont="1" applyFill="1" applyBorder="1" applyAlignment="1" applyProtection="1">
      <alignment horizontal="center"/>
    </xf>
    <xf numFmtId="0" fontId="13" fillId="10" borderId="3" xfId="11" applyFont="1" applyFill="1" applyBorder="1" applyProtection="1"/>
    <xf numFmtId="0" fontId="2" fillId="10" borderId="3" xfId="11" applyFont="1" applyFill="1" applyBorder="1" applyProtection="1"/>
    <xf numFmtId="171" fontId="1" fillId="10" borderId="0" xfId="11" applyNumberFormat="1" applyFont="1" applyFill="1" applyBorder="1" applyAlignment="1" applyProtection="1">
      <alignment horizontal="centerContinuous"/>
    </xf>
    <xf numFmtId="5" fontId="3" fillId="10" borderId="0" xfId="11" applyNumberFormat="1" applyFont="1" applyFill="1" applyBorder="1" applyAlignment="1" applyProtection="1">
      <alignment horizontal="center"/>
      <protection locked="0"/>
    </xf>
    <xf numFmtId="0" fontId="1" fillId="10" borderId="64" xfId="11" applyFont="1" applyFill="1" applyBorder="1" applyAlignment="1" applyProtection="1"/>
    <xf numFmtId="0" fontId="1" fillId="10" borderId="65" xfId="11" applyFont="1" applyFill="1" applyBorder="1" applyAlignment="1" applyProtection="1"/>
    <xf numFmtId="0" fontId="1" fillId="10" borderId="67" xfId="11" applyFont="1" applyFill="1" applyBorder="1" applyAlignment="1" applyProtection="1">
      <alignment horizontal="centerContinuous"/>
    </xf>
    <xf numFmtId="0" fontId="3" fillId="10" borderId="80" xfId="11" applyFont="1" applyFill="1" applyBorder="1" applyAlignment="1" applyProtection="1">
      <alignment horizontal="centerContinuous"/>
    </xf>
    <xf numFmtId="0" fontId="1" fillId="10" borderId="23" xfId="11" applyFont="1" applyFill="1" applyBorder="1" applyProtection="1">
      <protection locked="0"/>
    </xf>
    <xf numFmtId="5" fontId="13" fillId="7" borderId="0" xfId="6" applyFont="1" applyFill="1" applyAlignment="1" applyProtection="1">
      <alignment horizontal="right"/>
      <protection locked="0"/>
    </xf>
    <xf numFmtId="5" fontId="13" fillId="7" borderId="0" xfId="6" applyFont="1" applyFill="1" applyBorder="1" applyAlignment="1" applyProtection="1">
      <alignment horizontal="left"/>
      <protection locked="0"/>
    </xf>
    <xf numFmtId="5" fontId="13" fillId="10" borderId="0" xfId="6" applyFont="1" applyFill="1" applyBorder="1" applyAlignment="1" applyProtection="1">
      <alignment horizontal="right"/>
      <protection locked="0"/>
    </xf>
    <xf numFmtId="10" fontId="1" fillId="10" borderId="0" xfId="12" applyNumberFormat="1" applyFont="1" applyFill="1" applyBorder="1" applyAlignment="1" applyProtection="1">
      <alignment horizontal="right"/>
      <protection locked="0"/>
    </xf>
    <xf numFmtId="37" fontId="1" fillId="10" borderId="0" xfId="11" applyNumberFormat="1" applyFont="1" applyFill="1" applyBorder="1" applyAlignment="1" applyProtection="1">
      <alignment horizontal="center"/>
      <protection locked="0"/>
    </xf>
    <xf numFmtId="5" fontId="1" fillId="7" borderId="0" xfId="6" applyFont="1" applyFill="1" applyAlignment="1" applyProtection="1">
      <alignment horizontal="right"/>
    </xf>
    <xf numFmtId="37" fontId="1" fillId="7" borderId="0" xfId="11" applyNumberFormat="1" applyFont="1" applyFill="1" applyBorder="1" applyProtection="1"/>
    <xf numFmtId="37" fontId="1" fillId="7" borderId="0" xfId="11" applyNumberFormat="1" applyFont="1" applyFill="1" applyBorder="1" applyAlignment="1" applyProtection="1">
      <alignment horizontal="centerContinuous"/>
    </xf>
    <xf numFmtId="0" fontId="3" fillId="7" borderId="0" xfId="11" applyFont="1" applyFill="1" applyAlignment="1" applyProtection="1">
      <alignment horizontal="centerContinuous"/>
    </xf>
    <xf numFmtId="0" fontId="1" fillId="7" borderId="0" xfId="11" applyFont="1" applyFill="1" applyBorder="1" applyAlignment="1" applyProtection="1">
      <alignment horizontal="right"/>
    </xf>
    <xf numFmtId="0" fontId="1" fillId="7" borderId="0" xfId="11" applyFont="1" applyFill="1" applyBorder="1" applyAlignment="1" applyProtection="1">
      <alignment horizontal="left"/>
    </xf>
    <xf numFmtId="2" fontId="1" fillId="7" borderId="0" xfId="12" applyNumberFormat="1" applyFont="1" applyFill="1" applyBorder="1" applyAlignment="1" applyProtection="1">
      <alignment horizontal="right"/>
    </xf>
    <xf numFmtId="0" fontId="21" fillId="10" borderId="0" xfId="11" applyFont="1" applyFill="1" applyBorder="1" applyAlignment="1" applyProtection="1">
      <alignment horizontal="center"/>
    </xf>
    <xf numFmtId="37" fontId="21" fillId="10" borderId="0" xfId="11" applyNumberFormat="1" applyFont="1" applyFill="1" applyBorder="1" applyAlignment="1" applyProtection="1">
      <alignment horizontal="centerContinuous"/>
    </xf>
    <xf numFmtId="5" fontId="21" fillId="10" borderId="0" xfId="6" applyFont="1" applyFill="1" applyBorder="1" applyAlignment="1" applyProtection="1">
      <alignment horizontal="centerContinuous"/>
    </xf>
    <xf numFmtId="10" fontId="1" fillId="10" borderId="0" xfId="12" applyNumberFormat="1" applyFont="1" applyFill="1" applyBorder="1" applyAlignment="1" applyProtection="1">
      <alignment horizontal="right"/>
    </xf>
    <xf numFmtId="37" fontId="1" fillId="10" borderId="0" xfId="11" applyNumberFormat="1" applyFont="1" applyFill="1" applyBorder="1" applyAlignment="1" applyProtection="1">
      <alignment horizontal="center"/>
    </xf>
    <xf numFmtId="37" fontId="1" fillId="10" borderId="3" xfId="11" applyNumberFormat="1" applyFont="1" applyFill="1" applyBorder="1" applyAlignment="1" applyProtection="1">
      <alignment horizontal="centerContinuous"/>
    </xf>
    <xf numFmtId="37" fontId="1" fillId="10" borderId="3" xfId="11" applyNumberFormat="1" applyFont="1" applyFill="1" applyBorder="1" applyAlignment="1" applyProtection="1">
      <alignment horizontal="center"/>
    </xf>
    <xf numFmtId="37" fontId="24" fillId="10" borderId="0" xfId="11" applyNumberFormat="1" applyFont="1" applyFill="1" applyBorder="1" applyAlignment="1" applyProtection="1">
      <alignment horizontal="centerContinuous"/>
    </xf>
    <xf numFmtId="5" fontId="3" fillId="10" borderId="3" xfId="6" applyFont="1" applyFill="1" applyBorder="1" applyAlignment="1" applyProtection="1">
      <alignment horizontal="centerContinuous"/>
    </xf>
    <xf numFmtId="37" fontId="24" fillId="10" borderId="0" xfId="11" applyNumberFormat="1" applyFont="1" applyFill="1" applyBorder="1" applyAlignment="1" applyProtection="1">
      <alignment horizontal="left"/>
    </xf>
    <xf numFmtId="0" fontId="24" fillId="10" borderId="0" xfId="11" applyFont="1" applyFill="1" applyBorder="1" applyProtection="1"/>
    <xf numFmtId="5" fontId="1" fillId="10" borderId="0" xfId="6" applyNumberFormat="1" applyFont="1" applyFill="1" applyBorder="1" applyAlignment="1" applyProtection="1">
      <alignment horizontal="right"/>
    </xf>
    <xf numFmtId="37" fontId="1" fillId="10" borderId="0" xfId="6" applyNumberFormat="1" applyFont="1" applyFill="1" applyBorder="1" applyAlignment="1" applyProtection="1">
      <alignment horizontal="right"/>
    </xf>
    <xf numFmtId="5" fontId="1" fillId="10" borderId="0" xfId="6" applyFont="1" applyFill="1" applyBorder="1" applyAlignment="1" applyProtection="1">
      <alignment horizontal="right"/>
      <protection locked="0"/>
    </xf>
    <xf numFmtId="5" fontId="1" fillId="10" borderId="0" xfId="11" applyNumberFormat="1" applyFont="1" applyFill="1" applyBorder="1" applyAlignment="1" applyProtection="1">
      <alignment horizontal="center"/>
      <protection locked="0"/>
    </xf>
    <xf numFmtId="5" fontId="1" fillId="10" borderId="3" xfId="6" applyFont="1" applyFill="1" applyBorder="1" applyAlignment="1" applyProtection="1">
      <alignment horizontal="right"/>
    </xf>
    <xf numFmtId="5" fontId="1" fillId="10" borderId="0" xfId="11" applyNumberFormat="1" applyFont="1" applyFill="1" applyBorder="1" applyAlignment="1" applyProtection="1">
      <alignment horizontal="right"/>
      <protection locked="0"/>
    </xf>
    <xf numFmtId="10" fontId="1" fillId="10" borderId="0" xfId="12" applyNumberFormat="1" applyFont="1" applyFill="1" applyBorder="1" applyAlignment="1" applyProtection="1">
      <alignment horizontal="center"/>
      <protection locked="0"/>
    </xf>
    <xf numFmtId="37" fontId="1" fillId="10" borderId="0" xfId="12" applyNumberFormat="1" applyFont="1" applyFill="1" applyBorder="1" applyProtection="1">
      <protection locked="0"/>
    </xf>
    <xf numFmtId="10" fontId="1" fillId="10" borderId="0" xfId="12" applyNumberFormat="1" applyFont="1" applyFill="1" applyBorder="1" applyProtection="1">
      <protection locked="0"/>
    </xf>
    <xf numFmtId="5" fontId="1" fillId="10" borderId="0" xfId="6" quotePrefix="1" applyFont="1" applyFill="1" applyBorder="1" applyAlignment="1" applyProtection="1">
      <alignment horizontal="right"/>
    </xf>
    <xf numFmtId="1" fontId="1" fillId="10" borderId="0" xfId="11" applyNumberFormat="1" applyFont="1" applyFill="1" applyBorder="1" applyAlignment="1" applyProtection="1">
      <alignment horizontal="left"/>
      <protection locked="0"/>
    </xf>
    <xf numFmtId="5" fontId="1" fillId="10" borderId="2" xfId="6" applyFont="1" applyFill="1" applyBorder="1" applyAlignment="1" applyProtection="1">
      <alignment horizontal="right"/>
    </xf>
    <xf numFmtId="37" fontId="1" fillId="10" borderId="0" xfId="11" applyNumberFormat="1" applyFont="1" applyFill="1" applyBorder="1" applyAlignment="1" applyProtection="1">
      <alignment horizontal="centerContinuous"/>
    </xf>
    <xf numFmtId="5" fontId="1" fillId="10" borderId="0" xfId="6" applyFont="1" applyFill="1" applyBorder="1" applyAlignment="1" applyProtection="1">
      <alignment horizontal="right"/>
    </xf>
    <xf numFmtId="5" fontId="3" fillId="10" borderId="0" xfId="6" applyFont="1" applyFill="1" applyBorder="1" applyAlignment="1" applyProtection="1">
      <alignment horizontal="centerContinuous"/>
    </xf>
    <xf numFmtId="5" fontId="3" fillId="10" borderId="0" xfId="6" applyFont="1" applyFill="1" applyBorder="1" applyAlignment="1" applyProtection="1">
      <alignment horizontal="right"/>
    </xf>
    <xf numFmtId="0" fontId="3" fillId="10" borderId="3" xfId="11" applyFont="1" applyFill="1" applyBorder="1" applyProtection="1"/>
    <xf numFmtId="5" fontId="3" fillId="10" borderId="0" xfId="11" applyNumberFormat="1" applyFont="1" applyFill="1" applyBorder="1" applyAlignment="1" applyProtection="1">
      <alignment horizontal="center"/>
    </xf>
    <xf numFmtId="167" fontId="1" fillId="8" borderId="9" xfId="11" applyNumberFormat="1" applyFont="1" applyFill="1" applyBorder="1" applyAlignment="1" applyProtection="1">
      <alignment horizontal="right"/>
      <protection locked="0"/>
    </xf>
    <xf numFmtId="37" fontId="1" fillId="8" borderId="9" xfId="11" applyNumberFormat="1" applyFont="1" applyFill="1" applyBorder="1" applyAlignment="1" applyProtection="1">
      <alignment horizontal="right"/>
      <protection locked="0"/>
    </xf>
    <xf numFmtId="0" fontId="1" fillId="10" borderId="64" xfId="11" applyFont="1" applyFill="1" applyBorder="1" applyProtection="1"/>
    <xf numFmtId="0" fontId="1" fillId="10" borderId="65" xfId="8" applyFont="1" applyFill="1" applyBorder="1" applyAlignment="1" applyProtection="1">
      <alignment wrapText="1"/>
    </xf>
    <xf numFmtId="0" fontId="1" fillId="10" borderId="65" xfId="11" applyFont="1" applyFill="1" applyBorder="1" applyProtection="1"/>
    <xf numFmtId="0" fontId="1" fillId="10" borderId="65" xfId="11" applyFont="1" applyFill="1" applyBorder="1" applyAlignment="1" applyProtection="1">
      <alignment horizontal="right"/>
    </xf>
    <xf numFmtId="5" fontId="3" fillId="10" borderId="0" xfId="11" applyNumberFormat="1" applyFont="1" applyFill="1" applyBorder="1" applyAlignment="1" applyProtection="1">
      <alignment horizontal="right"/>
    </xf>
    <xf numFmtId="5" fontId="1" fillId="10" borderId="0" xfId="11" applyNumberFormat="1" applyFont="1" applyFill="1" applyBorder="1" applyAlignment="1" applyProtection="1">
      <alignment horizontal="right"/>
    </xf>
    <xf numFmtId="37" fontId="3" fillId="10" borderId="0" xfId="11" applyNumberFormat="1" applyFont="1" applyFill="1" applyBorder="1" applyAlignment="1" applyProtection="1">
      <alignment horizontal="center"/>
    </xf>
    <xf numFmtId="5" fontId="3" fillId="10" borderId="0" xfId="6" applyFont="1" applyFill="1" applyBorder="1" applyAlignment="1" applyProtection="1">
      <alignment horizontal="center"/>
    </xf>
    <xf numFmtId="10" fontId="1" fillId="10" borderId="0" xfId="12" applyNumberFormat="1" applyFont="1" applyFill="1" applyBorder="1" applyAlignment="1" applyProtection="1">
      <alignment horizontal="center"/>
    </xf>
    <xf numFmtId="37" fontId="1" fillId="10" borderId="0" xfId="12" applyNumberFormat="1" applyFont="1" applyFill="1" applyBorder="1" applyAlignment="1" applyProtection="1">
      <alignment horizontal="right"/>
    </xf>
    <xf numFmtId="10" fontId="1" fillId="10" borderId="0" xfId="12" applyNumberFormat="1" applyFont="1" applyFill="1" applyBorder="1" applyAlignment="1" applyProtection="1">
      <alignment horizontal="centerContinuous"/>
      <protection locked="0"/>
    </xf>
    <xf numFmtId="5" fontId="1" fillId="10" borderId="0" xfId="6" applyNumberFormat="1" applyFont="1" applyFill="1" applyBorder="1" applyProtection="1"/>
    <xf numFmtId="10" fontId="1" fillId="8" borderId="1" xfId="12" applyNumberFormat="1" applyFont="1" applyFill="1" applyBorder="1" applyAlignment="1" applyProtection="1">
      <alignment horizontal="center"/>
      <protection locked="0"/>
    </xf>
    <xf numFmtId="5" fontId="1" fillId="10" borderId="0" xfId="12" applyNumberFormat="1" applyFont="1" applyFill="1" applyBorder="1" applyAlignment="1" applyProtection="1">
      <alignment horizontal="right"/>
    </xf>
    <xf numFmtId="37" fontId="1" fillId="10" borderId="0" xfId="6" applyNumberFormat="1" applyFont="1" applyFill="1" applyBorder="1" applyProtection="1"/>
    <xf numFmtId="37" fontId="1" fillId="10" borderId="0" xfId="12" applyNumberFormat="1" applyFont="1" applyFill="1" applyBorder="1" applyAlignment="1" applyProtection="1">
      <alignment horizontal="right"/>
      <protection locked="0"/>
    </xf>
    <xf numFmtId="5" fontId="28" fillId="10" borderId="70" xfId="11" applyNumberFormat="1" applyFont="1" applyFill="1" applyBorder="1" applyProtection="1">
      <protection locked="0"/>
    </xf>
    <xf numFmtId="5" fontId="13" fillId="10" borderId="70" xfId="6" applyFont="1" applyFill="1" applyBorder="1" applyAlignment="1" applyProtection="1">
      <alignment horizontal="right"/>
      <protection locked="0"/>
    </xf>
    <xf numFmtId="5" fontId="13" fillId="10" borderId="70" xfId="11" applyNumberFormat="1" applyFont="1" applyFill="1" applyBorder="1" applyAlignment="1" applyProtection="1">
      <alignment horizontal="center"/>
      <protection locked="0"/>
    </xf>
    <xf numFmtId="37" fontId="28" fillId="10" borderId="70" xfId="11" applyNumberFormat="1" applyFont="1" applyFill="1" applyBorder="1" applyProtection="1">
      <protection locked="0"/>
    </xf>
    <xf numFmtId="5" fontId="1" fillId="10" borderId="65" xfId="6" applyFont="1" applyFill="1" applyBorder="1" applyAlignment="1" applyProtection="1">
      <alignment horizontal="right"/>
    </xf>
    <xf numFmtId="0" fontId="1" fillId="10" borderId="65" xfId="11" applyFont="1" applyFill="1" applyBorder="1" applyAlignment="1" applyProtection="1">
      <alignment horizontal="center"/>
    </xf>
    <xf numFmtId="37" fontId="1" fillId="10" borderId="65" xfId="11" applyNumberFormat="1" applyFont="1" applyFill="1" applyBorder="1" applyAlignment="1" applyProtection="1">
      <alignment horizontal="centerContinuous"/>
    </xf>
    <xf numFmtId="0" fontId="1" fillId="10" borderId="65" xfId="11" applyFont="1" applyFill="1" applyBorder="1" applyAlignment="1" applyProtection="1">
      <alignment horizontal="centerContinuous"/>
    </xf>
    <xf numFmtId="5" fontId="1" fillId="10" borderId="4" xfId="6" applyFont="1" applyFill="1" applyBorder="1" applyAlignment="1" applyProtection="1">
      <alignment horizontal="right"/>
      <protection locked="0"/>
    </xf>
    <xf numFmtId="37" fontId="1" fillId="10" borderId="3" xfId="6" applyNumberFormat="1" applyFont="1" applyFill="1" applyBorder="1" applyAlignment="1" applyProtection="1">
      <alignment horizontal="right"/>
    </xf>
    <xf numFmtId="37" fontId="1" fillId="10" borderId="3" xfId="11" applyNumberFormat="1" applyFont="1" applyFill="1" applyBorder="1" applyAlignment="1" applyProtection="1">
      <alignment horizontal="right"/>
    </xf>
    <xf numFmtId="1" fontId="1" fillId="10" borderId="0" xfId="11" applyNumberFormat="1" applyFont="1" applyFill="1" applyBorder="1" applyAlignment="1" applyProtection="1">
      <alignment horizontal="right"/>
    </xf>
    <xf numFmtId="1" fontId="1" fillId="10" borderId="0" xfId="11" applyNumberFormat="1" applyFont="1" applyFill="1" applyBorder="1" applyAlignment="1" applyProtection="1">
      <alignment horizontal="left"/>
    </xf>
    <xf numFmtId="0" fontId="3" fillId="7" borderId="0" xfId="11" applyNumberFormat="1" applyFont="1" applyFill="1" applyAlignment="1" applyProtection="1"/>
    <xf numFmtId="0" fontId="3" fillId="7" borderId="0" xfId="11" applyFont="1" applyFill="1" applyAlignment="1" applyProtection="1"/>
    <xf numFmtId="38" fontId="2" fillId="7" borderId="0" xfId="8" applyNumberFormat="1" applyFont="1" applyFill="1" applyProtection="1">
      <protection locked="0"/>
    </xf>
    <xf numFmtId="38" fontId="13" fillId="7" borderId="0" xfId="8" applyNumberFormat="1" applyFont="1" applyFill="1" applyProtection="1">
      <protection locked="0"/>
    </xf>
    <xf numFmtId="38" fontId="2" fillId="7" borderId="0" xfId="8" applyNumberFormat="1" applyFont="1" applyFill="1" applyBorder="1" applyProtection="1">
      <protection locked="0"/>
    </xf>
    <xf numFmtId="38" fontId="13" fillId="7" borderId="0" xfId="8" applyNumberFormat="1" applyFont="1" applyFill="1" applyBorder="1" applyProtection="1">
      <protection locked="0"/>
    </xf>
    <xf numFmtId="38" fontId="1" fillId="7" borderId="0" xfId="11" applyNumberFormat="1" applyFont="1" applyFill="1" applyAlignment="1" applyProtection="1">
      <alignment horizontal="right"/>
    </xf>
    <xf numFmtId="0" fontId="1" fillId="7" borderId="0" xfId="11" applyFont="1" applyFill="1" applyBorder="1" applyAlignment="1" applyProtection="1">
      <alignment horizontal="centerContinuous" wrapText="1"/>
    </xf>
    <xf numFmtId="38" fontId="1" fillId="7" borderId="0" xfId="11" applyNumberFormat="1" applyFont="1" applyFill="1" applyBorder="1" applyAlignment="1" applyProtection="1">
      <alignment horizontal="centerContinuous"/>
    </xf>
    <xf numFmtId="38" fontId="1" fillId="7" borderId="0" xfId="11" applyNumberFormat="1" applyFont="1" applyFill="1" applyBorder="1" applyProtection="1"/>
    <xf numFmtId="38" fontId="1" fillId="10" borderId="0" xfId="8" applyNumberFormat="1" applyFont="1" applyFill="1" applyBorder="1" applyProtection="1"/>
    <xf numFmtId="38" fontId="1" fillId="10" borderId="0" xfId="8" applyNumberFormat="1" applyFont="1" applyFill="1" applyBorder="1" applyAlignment="1" applyProtection="1">
      <alignment horizontal="center"/>
    </xf>
    <xf numFmtId="38" fontId="2" fillId="10" borderId="0" xfId="8" applyNumberFormat="1" applyFont="1" applyFill="1" applyBorder="1" applyProtection="1">
      <protection locked="0"/>
    </xf>
    <xf numFmtId="0" fontId="13" fillId="10" borderId="0" xfId="8" applyFont="1" applyFill="1" applyBorder="1" applyProtection="1">
      <protection locked="0"/>
    </xf>
    <xf numFmtId="38" fontId="13" fillId="10" borderId="0" xfId="8" applyNumberFormat="1" applyFont="1" applyFill="1" applyBorder="1" applyProtection="1">
      <protection locked="0"/>
    </xf>
    <xf numFmtId="0" fontId="14" fillId="10" borderId="0" xfId="8" applyFont="1" applyFill="1" applyBorder="1" applyProtection="1"/>
    <xf numFmtId="38" fontId="45" fillId="10" borderId="0" xfId="8" applyNumberFormat="1" applyFont="1" applyFill="1" applyBorder="1" applyProtection="1"/>
    <xf numFmtId="38" fontId="14" fillId="10" borderId="0" xfId="8" applyNumberFormat="1" applyFont="1" applyFill="1" applyBorder="1" applyProtection="1"/>
    <xf numFmtId="38" fontId="14" fillId="10" borderId="0" xfId="8" applyNumberFormat="1" applyFont="1" applyFill="1" applyBorder="1" applyAlignment="1" applyProtection="1">
      <alignment horizontal="center"/>
    </xf>
    <xf numFmtId="0" fontId="14" fillId="10" borderId="0" xfId="8" applyFont="1" applyFill="1" applyBorder="1" applyAlignment="1" applyProtection="1">
      <alignment horizontal="center"/>
    </xf>
    <xf numFmtId="0" fontId="49" fillId="10" borderId="0" xfId="8" applyNumberFormat="1" applyFont="1" applyFill="1" applyBorder="1" applyAlignment="1" applyProtection="1">
      <alignment horizontal="center"/>
    </xf>
    <xf numFmtId="172" fontId="49" fillId="10" borderId="0" xfId="8" applyNumberFormat="1" applyFont="1" applyFill="1" applyBorder="1" applyAlignment="1" applyProtection="1">
      <alignment horizontal="center"/>
    </xf>
    <xf numFmtId="38" fontId="45" fillId="10" borderId="0" xfId="8" applyNumberFormat="1" applyFont="1" applyFill="1" applyBorder="1" applyProtection="1">
      <protection locked="0"/>
    </xf>
    <xf numFmtId="6" fontId="45" fillId="8" borderId="1" xfId="8" applyNumberFormat="1" applyFont="1" applyFill="1" applyBorder="1" applyProtection="1">
      <protection locked="0"/>
    </xf>
    <xf numFmtId="38" fontId="45" fillId="8" borderId="1" xfId="8" applyNumberFormat="1" applyFont="1" applyFill="1" applyBorder="1" applyProtection="1">
      <protection locked="0"/>
    </xf>
    <xf numFmtId="38" fontId="14" fillId="10" borderId="0" xfId="8" applyNumberFormat="1" applyFont="1" applyFill="1" applyBorder="1" applyProtection="1">
      <protection locked="0"/>
    </xf>
    <xf numFmtId="38" fontId="1" fillId="10" borderId="0" xfId="8" applyNumberFormat="1" applyFont="1" applyFill="1" applyBorder="1" applyProtection="1">
      <protection locked="0"/>
    </xf>
    <xf numFmtId="6" fontId="1" fillId="10" borderId="25" xfId="8" applyNumberFormat="1" applyFont="1" applyFill="1" applyBorder="1" applyProtection="1"/>
    <xf numFmtId="0" fontId="9" fillId="7" borderId="0" xfId="8" applyFont="1" applyFill="1" applyProtection="1">
      <protection locked="0"/>
    </xf>
    <xf numFmtId="38" fontId="3" fillId="10" borderId="0" xfId="8" applyNumberFormat="1" applyFont="1" applyFill="1" applyBorder="1" applyAlignment="1" applyProtection="1">
      <alignment horizontal="center"/>
      <protection locked="0"/>
    </xf>
    <xf numFmtId="37" fontId="3" fillId="10" borderId="0" xfId="11" applyNumberFormat="1" applyFont="1" applyFill="1" applyBorder="1" applyAlignment="1" applyProtection="1">
      <alignment horizontal="center"/>
      <protection locked="0"/>
    </xf>
    <xf numFmtId="38" fontId="3" fillId="10" borderId="3" xfId="11" applyNumberFormat="1" applyFont="1" applyFill="1" applyBorder="1" applyAlignment="1" applyProtection="1">
      <alignment horizontal="center"/>
      <protection locked="0"/>
    </xf>
    <xf numFmtId="49" fontId="3" fillId="10" borderId="3" xfId="8" applyNumberFormat="1" applyFont="1" applyFill="1" applyBorder="1" applyAlignment="1" applyProtection="1">
      <alignment horizontal="center"/>
      <protection locked="0"/>
    </xf>
    <xf numFmtId="6" fontId="1" fillId="8" borderId="1" xfId="8" applyNumberFormat="1" applyFont="1" applyFill="1" applyBorder="1" applyProtection="1">
      <protection locked="0"/>
    </xf>
    <xf numFmtId="6" fontId="1" fillId="10" borderId="0" xfId="8" applyNumberFormat="1" applyFont="1" applyFill="1" applyBorder="1" applyProtection="1">
      <protection locked="0"/>
    </xf>
    <xf numFmtId="38" fontId="3" fillId="10" borderId="3" xfId="8" applyNumberFormat="1" applyFont="1" applyFill="1" applyBorder="1" applyAlignment="1" applyProtection="1">
      <alignment horizontal="center"/>
    </xf>
    <xf numFmtId="38" fontId="3" fillId="10" borderId="3" xfId="11" applyNumberFormat="1" applyFont="1" applyFill="1" applyBorder="1" applyAlignment="1" applyProtection="1">
      <alignment horizontal="center"/>
    </xf>
    <xf numFmtId="3" fontId="2" fillId="8" borderId="1" xfId="8" applyNumberFormat="1" applyFont="1" applyFill="1" applyBorder="1" applyAlignment="1" applyProtection="1">
      <alignment horizontal="right"/>
      <protection locked="0"/>
    </xf>
    <xf numFmtId="1" fontId="2" fillId="8" borderId="1" xfId="8" applyNumberFormat="1" applyFont="1" applyFill="1" applyBorder="1" applyAlignment="1" applyProtection="1">
      <alignment horizontal="right"/>
      <protection locked="0"/>
    </xf>
    <xf numFmtId="2" fontId="2" fillId="8" borderId="1" xfId="8" applyNumberFormat="1" applyFont="1" applyFill="1" applyBorder="1" applyAlignment="1" applyProtection="1">
      <alignment horizontal="right"/>
      <protection locked="0"/>
    </xf>
    <xf numFmtId="2" fontId="1" fillId="8" borderId="1" xfId="8" applyNumberFormat="1" applyFont="1" applyFill="1" applyBorder="1" applyAlignment="1" applyProtection="1">
      <alignment horizontal="right"/>
      <protection locked="0"/>
    </xf>
    <xf numFmtId="1" fontId="2" fillId="8" borderId="7" xfId="8" applyNumberFormat="1" applyFont="1" applyFill="1" applyBorder="1" applyAlignment="1" applyProtection="1">
      <alignment horizontal="right"/>
      <protection locked="0"/>
    </xf>
    <xf numFmtId="0" fontId="13" fillId="11" borderId="0" xfId="8" applyFont="1" applyFill="1" applyBorder="1" applyAlignment="1" applyProtection="1">
      <alignment horizontal="right"/>
      <protection locked="0"/>
    </xf>
    <xf numFmtId="0" fontId="2" fillId="11" borderId="0" xfId="8" applyFont="1" applyFill="1" applyBorder="1" applyProtection="1">
      <protection locked="0"/>
    </xf>
    <xf numFmtId="0" fontId="1" fillId="11" borderId="0" xfId="8" applyFont="1" applyFill="1" applyBorder="1" applyAlignment="1" applyProtection="1">
      <alignment horizontal="right"/>
      <protection locked="0"/>
    </xf>
    <xf numFmtId="3" fontId="1" fillId="11" borderId="0" xfId="8" applyNumberFormat="1" applyFont="1" applyFill="1" applyBorder="1" applyAlignment="1" applyProtection="1">
      <alignment horizontal="right"/>
    </xf>
    <xf numFmtId="3" fontId="1" fillId="11" borderId="0" xfId="8" applyNumberFormat="1" applyFont="1" applyFill="1" applyBorder="1" applyAlignment="1" applyProtection="1">
      <alignment horizontal="right"/>
      <protection locked="0"/>
    </xf>
    <xf numFmtId="3" fontId="1" fillId="11" borderId="0" xfId="8" applyNumberFormat="1" applyFont="1" applyFill="1" applyBorder="1" applyAlignment="1" applyProtection="1">
      <alignment horizontal="right" wrapText="1"/>
    </xf>
    <xf numFmtId="3" fontId="1" fillId="11" borderId="0" xfId="8" applyNumberFormat="1" applyFont="1" applyFill="1" applyBorder="1" applyProtection="1">
      <protection locked="0"/>
    </xf>
    <xf numFmtId="0" fontId="1" fillId="11" borderId="0" xfId="8" applyFont="1" applyFill="1" applyBorder="1" applyProtection="1">
      <protection locked="0"/>
    </xf>
    <xf numFmtId="3" fontId="2" fillId="11" borderId="0" xfId="8" applyNumberFormat="1" applyFont="1" applyFill="1" applyBorder="1" applyAlignment="1" applyProtection="1">
      <alignment horizontal="right"/>
      <protection locked="0"/>
    </xf>
    <xf numFmtId="0" fontId="3" fillId="11" borderId="3" xfId="8" applyFont="1" applyFill="1" applyBorder="1" applyAlignment="1" applyProtection="1">
      <alignment horizontal="right"/>
      <protection locked="0"/>
    </xf>
    <xf numFmtId="0" fontId="3" fillId="11" borderId="3" xfId="8" applyFont="1" applyFill="1" applyBorder="1" applyAlignment="1" applyProtection="1">
      <alignment horizontal="right"/>
    </xf>
    <xf numFmtId="0" fontId="24" fillId="11" borderId="3" xfId="8" applyFont="1" applyFill="1" applyBorder="1" applyAlignment="1" applyProtection="1">
      <alignment horizontal="right"/>
    </xf>
    <xf numFmtId="0" fontId="3" fillId="11" borderId="3" xfId="8" applyFont="1" applyFill="1" applyBorder="1" applyAlignment="1" applyProtection="1">
      <alignment horizontal="center" wrapText="1"/>
    </xf>
    <xf numFmtId="3" fontId="1" fillId="11" borderId="25" xfId="8" applyNumberFormat="1" applyFont="1" applyFill="1" applyBorder="1" applyAlignment="1" applyProtection="1">
      <alignment horizontal="right"/>
    </xf>
    <xf numFmtId="0" fontId="1" fillId="11" borderId="0" xfId="8" applyFont="1" applyFill="1" applyBorder="1" applyAlignment="1" applyProtection="1">
      <alignment horizontal="right"/>
    </xf>
    <xf numFmtId="0" fontId="2" fillId="7" borderId="0" xfId="8" applyFont="1" applyFill="1" applyAlignment="1" applyProtection="1">
      <alignment horizontal="right"/>
      <protection locked="0"/>
    </xf>
    <xf numFmtId="0" fontId="6" fillId="7" borderId="0" xfId="8" applyFont="1" applyFill="1" applyProtection="1">
      <protection locked="0"/>
    </xf>
    <xf numFmtId="49" fontId="6" fillId="7" borderId="0" xfId="8" applyNumberFormat="1" applyFont="1" applyFill="1" applyProtection="1">
      <protection locked="0"/>
    </xf>
    <xf numFmtId="0" fontId="24" fillId="7" borderId="0" xfId="8" applyFont="1" applyFill="1" applyProtection="1">
      <protection locked="0"/>
    </xf>
    <xf numFmtId="0" fontId="2" fillId="7" borderId="0" xfId="8" applyFont="1" applyFill="1"/>
    <xf numFmtId="0" fontId="1" fillId="0" borderId="0" xfId="8" applyFill="1" applyAlignment="1" applyProtection="1"/>
    <xf numFmtId="0" fontId="1" fillId="0" borderId="0" xfId="8" applyFill="1" applyAlignment="1" applyProtection="1">
      <protection locked="0"/>
    </xf>
    <xf numFmtId="0" fontId="27" fillId="0" borderId="0" xfId="11" applyFont="1" applyFill="1" applyAlignment="1" applyProtection="1">
      <alignment horizontal="left"/>
      <protection locked="0"/>
    </xf>
    <xf numFmtId="0" fontId="2" fillId="0" borderId="0" xfId="11" applyFont="1" applyFill="1" applyAlignment="1" applyProtection="1">
      <alignment horizontal="fill"/>
      <protection locked="0"/>
    </xf>
    <xf numFmtId="37" fontId="8" fillId="0" borderId="0" xfId="11" applyNumberFormat="1" applyFont="1" applyFill="1" applyBorder="1" applyAlignment="1" applyProtection="1">
      <alignment horizontal="centerContinuous"/>
      <protection locked="0"/>
    </xf>
    <xf numFmtId="0" fontId="21" fillId="0" borderId="0" xfId="11" applyFont="1" applyFill="1" applyBorder="1" applyAlignment="1" applyProtection="1">
      <alignment horizontal="centerContinuous"/>
      <protection locked="0"/>
    </xf>
    <xf numFmtId="0" fontId="2" fillId="0" borderId="0" xfId="11" applyFont="1" applyFill="1" applyBorder="1" applyProtection="1">
      <protection locked="0"/>
    </xf>
    <xf numFmtId="5" fontId="13" fillId="0" borderId="0" xfId="11" applyNumberFormat="1" applyFont="1" applyFill="1" applyBorder="1" applyProtection="1"/>
    <xf numFmtId="37" fontId="13" fillId="0" borderId="0" xfId="11" applyNumberFormat="1" applyFont="1" applyFill="1" applyBorder="1" applyProtection="1"/>
    <xf numFmtId="0" fontId="2" fillId="0" borderId="0" xfId="11" applyFont="1" applyFill="1" applyBorder="1" applyProtection="1">
      <protection locked="0" hidden="1"/>
    </xf>
    <xf numFmtId="5" fontId="13" fillId="0" borderId="0" xfId="11" applyNumberFormat="1" applyFont="1" applyFill="1" applyBorder="1" applyAlignment="1" applyProtection="1">
      <alignment horizontal="right"/>
      <protection locked="0" hidden="1"/>
    </xf>
    <xf numFmtId="5" fontId="8" fillId="0" borderId="0" xfId="11" applyNumberFormat="1" applyFont="1" applyFill="1" applyBorder="1" applyAlignment="1" applyProtection="1">
      <alignment horizontal="right"/>
      <protection locked="0" hidden="1"/>
    </xf>
    <xf numFmtId="37" fontId="13" fillId="0" borderId="0" xfId="11" applyNumberFormat="1" applyFont="1" applyFill="1" applyBorder="1" applyAlignment="1" applyProtection="1">
      <alignment horizontal="fill"/>
      <protection locked="0"/>
    </xf>
    <xf numFmtId="37" fontId="27" fillId="0" borderId="0" xfId="11" applyNumberFormat="1" applyFont="1" applyFill="1" applyBorder="1" applyAlignment="1" applyProtection="1">
      <alignment horizontal="fill"/>
      <protection locked="0"/>
    </xf>
    <xf numFmtId="5" fontId="13" fillId="0" borderId="0" xfId="11" applyNumberFormat="1" applyFont="1" applyFill="1" applyBorder="1" applyProtection="1">
      <protection locked="0" hidden="1"/>
    </xf>
    <xf numFmtId="37" fontId="13" fillId="0" borderId="0" xfId="11" applyNumberFormat="1" applyFont="1" applyFill="1" applyBorder="1" applyProtection="1">
      <protection locked="0" hidden="1"/>
    </xf>
    <xf numFmtId="5" fontId="2" fillId="0" borderId="0" xfId="11" applyNumberFormat="1" applyFont="1" applyFill="1" applyBorder="1" applyProtection="1">
      <protection locked="0"/>
    </xf>
    <xf numFmtId="37" fontId="13" fillId="0" borderId="0" xfId="11" applyNumberFormat="1" applyFont="1" applyFill="1" applyBorder="1" applyProtection="1">
      <protection locked="0"/>
    </xf>
    <xf numFmtId="5" fontId="13" fillId="0" borderId="0" xfId="11" applyNumberFormat="1" applyFont="1" applyFill="1" applyBorder="1" applyAlignment="1" applyProtection="1">
      <alignment horizontal="fill"/>
      <protection locked="0"/>
    </xf>
    <xf numFmtId="5" fontId="13" fillId="0" borderId="0" xfId="11" applyNumberFormat="1" applyFont="1" applyFill="1" applyBorder="1" applyAlignment="1" applyProtection="1">
      <alignment horizontal="fill"/>
      <protection locked="0" hidden="1"/>
    </xf>
    <xf numFmtId="37" fontId="2" fillId="0" borderId="0" xfId="11" applyNumberFormat="1" applyFont="1" applyFill="1" applyBorder="1" applyProtection="1">
      <protection locked="0"/>
    </xf>
    <xf numFmtId="5" fontId="28" fillId="0" borderId="0" xfId="11" applyNumberFormat="1" applyFont="1" applyFill="1" applyBorder="1" applyProtection="1">
      <protection locked="0"/>
    </xf>
    <xf numFmtId="0" fontId="28" fillId="0" borderId="0" xfId="11" applyFont="1" applyFill="1" applyBorder="1" applyProtection="1">
      <protection locked="0"/>
    </xf>
    <xf numFmtId="10" fontId="13" fillId="0" borderId="0" xfId="11" applyNumberFormat="1" applyFont="1" applyFill="1" applyBorder="1" applyProtection="1"/>
    <xf numFmtId="37" fontId="13" fillId="0" borderId="0" xfId="11" applyNumberFormat="1" applyFont="1" applyFill="1" applyProtection="1">
      <protection locked="0"/>
    </xf>
    <xf numFmtId="0" fontId="81" fillId="0" borderId="0" xfId="11" applyFont="1" applyFill="1" applyProtection="1">
      <protection locked="0"/>
    </xf>
    <xf numFmtId="0" fontId="81" fillId="0" borderId="0" xfId="8" applyFont="1" applyFill="1" applyProtection="1">
      <protection locked="0"/>
    </xf>
    <xf numFmtId="0" fontId="1" fillId="0" borderId="0" xfId="8" applyFill="1"/>
    <xf numFmtId="0" fontId="4" fillId="7" borderId="0" xfId="11" applyFont="1" applyFill="1" applyProtection="1">
      <protection locked="0" hidden="1"/>
    </xf>
    <xf numFmtId="0" fontId="1" fillId="7" borderId="0" xfId="11" applyFont="1" applyFill="1" applyBorder="1" applyAlignment="1" applyProtection="1">
      <alignment horizontal="centerContinuous"/>
      <protection locked="0"/>
    </xf>
    <xf numFmtId="0" fontId="1" fillId="8" borderId="1" xfId="8" applyNumberFormat="1" applyFont="1" applyFill="1" applyBorder="1" applyAlignment="1" applyProtection="1">
      <alignment horizontal="center" vertical="center"/>
      <protection locked="0"/>
    </xf>
    <xf numFmtId="44" fontId="81" fillId="10" borderId="0" xfId="4" applyFont="1" applyFill="1" applyBorder="1" applyAlignment="1" applyProtection="1">
      <alignment vertical="top" wrapText="1"/>
      <protection locked="0"/>
    </xf>
    <xf numFmtId="44" fontId="81" fillId="8" borderId="1" xfId="4" applyFont="1" applyFill="1" applyBorder="1" applyProtection="1">
      <protection locked="0"/>
    </xf>
    <xf numFmtId="165" fontId="45" fillId="10" borderId="0" xfId="4" applyNumberFormat="1" applyFont="1" applyFill="1" applyBorder="1" applyProtection="1">
      <protection hidden="1"/>
    </xf>
    <xf numFmtId="165" fontId="45" fillId="10" borderId="0" xfId="11" applyNumberFormat="1" applyFont="1" applyFill="1" applyBorder="1" applyProtection="1">
      <protection hidden="1"/>
    </xf>
    <xf numFmtId="5" fontId="81" fillId="8" borderId="1" xfId="11" applyNumberFormat="1" applyFont="1" applyFill="1" applyBorder="1" applyProtection="1">
      <protection locked="0"/>
    </xf>
    <xf numFmtId="14" fontId="1" fillId="8" borderId="1" xfId="8" applyNumberFormat="1" applyFont="1" applyFill="1" applyBorder="1" applyProtection="1">
      <protection locked="0"/>
    </xf>
    <xf numFmtId="5" fontId="45" fillId="8" borderId="1" xfId="11" applyNumberFormat="1" applyFont="1" applyFill="1" applyBorder="1" applyProtection="1"/>
    <xf numFmtId="37" fontId="45" fillId="8" borderId="1" xfId="11" applyNumberFormat="1" applyFont="1" applyFill="1" applyBorder="1" applyProtection="1"/>
    <xf numFmtId="37" fontId="45" fillId="8" borderId="5" xfId="6" applyNumberFormat="1" applyFont="1" applyFill="1" applyBorder="1" applyProtection="1">
      <protection locked="0"/>
    </xf>
    <xf numFmtId="37" fontId="45" fillId="10" borderId="4" xfId="6" applyNumberFormat="1" applyFont="1" applyFill="1" applyBorder="1" applyProtection="1">
      <protection locked="0"/>
    </xf>
    <xf numFmtId="37" fontId="45" fillId="10" borderId="0" xfId="11" applyNumberFormat="1" applyFont="1" applyFill="1" applyBorder="1" applyAlignment="1" applyProtection="1">
      <alignment horizontal="right"/>
    </xf>
    <xf numFmtId="37" fontId="45" fillId="8" borderId="1" xfId="11" applyNumberFormat="1" applyFont="1" applyFill="1" applyBorder="1" applyAlignment="1" applyProtection="1">
      <alignment horizontal="right"/>
      <protection locked="0"/>
    </xf>
    <xf numFmtId="37" fontId="1" fillId="8" borderId="1" xfId="6" applyNumberFormat="1" applyFont="1" applyFill="1" applyBorder="1" applyAlignment="1" applyProtection="1">
      <alignment horizontal="right"/>
      <protection locked="0"/>
    </xf>
    <xf numFmtId="37" fontId="45" fillId="8" borderId="1" xfId="6" applyNumberFormat="1" applyFont="1" applyFill="1" applyBorder="1" applyProtection="1">
      <protection locked="0"/>
    </xf>
    <xf numFmtId="5" fontId="81" fillId="8" borderId="18" xfId="11" applyNumberFormat="1" applyFont="1" applyFill="1" applyBorder="1" applyProtection="1">
      <protection locked="0"/>
    </xf>
    <xf numFmtId="0" fontId="2" fillId="7" borderId="0" xfId="11" applyFont="1" applyFill="1" applyAlignment="1" applyProtection="1">
      <protection locked="0"/>
    </xf>
    <xf numFmtId="0" fontId="24" fillId="7" borderId="0" xfId="11" applyFont="1" applyFill="1" applyProtection="1">
      <protection locked="0"/>
    </xf>
    <xf numFmtId="0" fontId="1" fillId="7" borderId="0" xfId="11" applyFont="1" applyFill="1" applyAlignment="1" applyProtection="1">
      <alignment horizontal="fill"/>
      <protection locked="0"/>
    </xf>
    <xf numFmtId="5" fontId="1" fillId="10" borderId="0" xfId="6" applyFont="1" applyFill="1" applyBorder="1" applyProtection="1">
      <protection locked="0"/>
    </xf>
    <xf numFmtId="5" fontId="1" fillId="10" borderId="0" xfId="6" applyFont="1" applyFill="1" applyBorder="1" applyProtection="1"/>
    <xf numFmtId="5" fontId="1" fillId="8" borderId="1" xfId="6" applyFont="1" applyFill="1" applyBorder="1" applyProtection="1">
      <protection locked="0"/>
    </xf>
    <xf numFmtId="5" fontId="1" fillId="10" borderId="0" xfId="11" applyNumberFormat="1" applyFont="1" applyFill="1" applyBorder="1" applyAlignment="1" applyProtection="1"/>
    <xf numFmtId="169" fontId="1" fillId="10" borderId="0" xfId="11" applyNumberFormat="1" applyFont="1" applyFill="1" applyBorder="1" applyProtection="1"/>
    <xf numFmtId="169" fontId="1" fillId="10" borderId="0" xfId="11" applyNumberFormat="1" applyFont="1" applyFill="1" applyBorder="1" applyProtection="1">
      <protection locked="0"/>
    </xf>
    <xf numFmtId="169" fontId="1" fillId="8" borderId="1" xfId="11" applyNumberFormat="1" applyFont="1" applyFill="1" applyBorder="1" applyProtection="1">
      <protection locked="0"/>
    </xf>
    <xf numFmtId="170" fontId="1" fillId="10" borderId="0" xfId="12" applyNumberFormat="1" applyFont="1" applyFill="1" applyBorder="1" applyProtection="1"/>
    <xf numFmtId="0" fontId="0" fillId="7" borderId="0" xfId="0" applyFill="1"/>
    <xf numFmtId="0" fontId="80" fillId="7" borderId="0" xfId="0" applyFont="1" applyFill="1"/>
    <xf numFmtId="0" fontId="86" fillId="10" borderId="0" xfId="0" applyFont="1" applyFill="1" applyBorder="1"/>
    <xf numFmtId="0" fontId="80" fillId="10" borderId="0" xfId="0" applyFont="1" applyFill="1" applyBorder="1"/>
    <xf numFmtId="0" fontId="83" fillId="10" borderId="0" xfId="11" applyFont="1" applyFill="1" applyBorder="1" applyAlignment="1" applyProtection="1">
      <alignment horizontal="left"/>
      <protection locked="0"/>
    </xf>
    <xf numFmtId="37" fontId="80" fillId="10" borderId="0" xfId="11" applyNumberFormat="1" applyFont="1" applyFill="1" applyBorder="1" applyAlignment="1" applyProtection="1">
      <alignment horizontal="left"/>
      <protection locked="0"/>
    </xf>
    <xf numFmtId="37" fontId="80" fillId="10" borderId="3" xfId="11" applyNumberFormat="1" applyFont="1" applyFill="1" applyBorder="1" applyAlignment="1" applyProtection="1">
      <alignment horizontal="right"/>
      <protection locked="0"/>
    </xf>
    <xf numFmtId="5" fontId="80" fillId="10" borderId="3" xfId="11" applyNumberFormat="1" applyFont="1" applyFill="1" applyBorder="1" applyAlignment="1" applyProtection="1">
      <alignment horizontal="right"/>
      <protection locked="0"/>
    </xf>
    <xf numFmtId="37" fontId="86" fillId="10" borderId="3" xfId="11" applyNumberFormat="1" applyFont="1" applyFill="1" applyBorder="1" applyAlignment="1" applyProtection="1">
      <alignment horizontal="right"/>
      <protection locked="0"/>
    </xf>
    <xf numFmtId="0" fontId="83" fillId="10" borderId="0" xfId="11" applyFont="1" applyFill="1" applyBorder="1" applyAlignment="1" applyProtection="1">
      <alignment horizontal="center"/>
    </xf>
    <xf numFmtId="164" fontId="81" fillId="10" borderId="0" xfId="11" applyNumberFormat="1" applyFont="1" applyFill="1" applyBorder="1" applyAlignment="1" applyProtection="1">
      <alignment horizontal="center"/>
      <protection locked="0"/>
    </xf>
    <xf numFmtId="0" fontId="86" fillId="10" borderId="0" xfId="8" applyFont="1" applyFill="1" applyBorder="1" applyAlignment="1" applyProtection="1">
      <alignment horizontal="left"/>
      <protection locked="0"/>
    </xf>
    <xf numFmtId="37" fontId="86" fillId="10" borderId="0" xfId="11" applyNumberFormat="1" applyFont="1" applyFill="1" applyBorder="1" applyAlignment="1" applyProtection="1">
      <alignment horizontal="right"/>
      <protection locked="0"/>
    </xf>
    <xf numFmtId="44" fontId="81" fillId="10" borderId="1" xfId="4" applyFont="1" applyFill="1" applyBorder="1" applyProtection="1"/>
    <xf numFmtId="0" fontId="0" fillId="10" borderId="0" xfId="0" applyFill="1" applyBorder="1"/>
    <xf numFmtId="0" fontId="80" fillId="10" borderId="0" xfId="0" applyFont="1" applyFill="1" applyBorder="1" applyAlignment="1">
      <alignment wrapText="1"/>
    </xf>
    <xf numFmtId="37" fontId="80" fillId="8" borderId="1" xfId="11" applyNumberFormat="1" applyFont="1" applyFill="1" applyBorder="1" applyProtection="1">
      <protection locked="0"/>
    </xf>
    <xf numFmtId="0" fontId="83" fillId="11" borderId="0" xfId="11" applyFont="1" applyFill="1" applyBorder="1" applyAlignment="1" applyProtection="1">
      <alignment horizontal="center"/>
    </xf>
    <xf numFmtId="6" fontId="1" fillId="8" borderId="7" xfId="8" applyNumberFormat="1" applyFont="1" applyFill="1" applyBorder="1" applyProtection="1">
      <protection locked="0"/>
    </xf>
    <xf numFmtId="6" fontId="1" fillId="10" borderId="3" xfId="8" applyNumberFormat="1" applyFont="1" applyFill="1" applyBorder="1" applyProtection="1">
      <protection locked="0"/>
    </xf>
    <xf numFmtId="0" fontId="81" fillId="10" borderId="0" xfId="8" applyFont="1" applyFill="1" applyBorder="1" applyAlignment="1" applyProtection="1">
      <alignment wrapText="1"/>
      <protection locked="0"/>
    </xf>
    <xf numFmtId="0" fontId="1" fillId="4" borderId="0" xfId="8" applyFont="1" applyFill="1" applyProtection="1">
      <protection hidden="1"/>
    </xf>
    <xf numFmtId="0" fontId="1" fillId="2" borderId="81" xfId="8" applyFont="1" applyFill="1" applyBorder="1"/>
    <xf numFmtId="5" fontId="1" fillId="8" borderId="1" xfId="6" applyFont="1" applyFill="1" applyBorder="1" applyAlignment="1" applyProtection="1">
      <alignment horizontal="right"/>
      <protection locked="0"/>
    </xf>
    <xf numFmtId="0" fontId="87" fillId="0" borderId="0" xfId="8" applyFont="1" applyProtection="1">
      <protection locked="0"/>
    </xf>
    <xf numFmtId="0" fontId="1" fillId="10" borderId="0" xfId="8" applyFont="1" applyFill="1" applyBorder="1" applyAlignment="1"/>
    <xf numFmtId="0" fontId="81" fillId="10" borderId="0" xfId="8" applyFont="1" applyFill="1" applyBorder="1" applyAlignment="1" applyProtection="1">
      <alignment horizontal="left" vertical="top"/>
    </xf>
    <xf numFmtId="166" fontId="81" fillId="10" borderId="0" xfId="8" applyNumberFormat="1" applyFont="1" applyFill="1" applyBorder="1" applyAlignment="1" applyProtection="1">
      <alignment vertical="top" wrapText="1"/>
      <protection locked="0"/>
    </xf>
    <xf numFmtId="0" fontId="2" fillId="10" borderId="67" xfId="8" applyFont="1" applyFill="1" applyBorder="1" applyAlignment="1" applyProtection="1">
      <protection locked="0"/>
    </xf>
    <xf numFmtId="0" fontId="2" fillId="10" borderId="0" xfId="8" applyFont="1" applyFill="1" applyBorder="1" applyAlignment="1" applyProtection="1">
      <protection locked="0"/>
    </xf>
    <xf numFmtId="0" fontId="3" fillId="10" borderId="0" xfId="8" applyFont="1" applyFill="1" applyBorder="1" applyAlignment="1" applyProtection="1">
      <alignment horizontal="center"/>
      <protection locked="0"/>
    </xf>
    <xf numFmtId="0" fontId="81" fillId="10" borderId="0" xfId="8" applyFont="1" applyFill="1" applyBorder="1" applyAlignment="1" applyProtection="1">
      <alignment horizontal="left" wrapText="1"/>
      <protection locked="0"/>
    </xf>
    <xf numFmtId="0" fontId="13" fillId="7" borderId="0" xfId="11" applyFont="1" applyFill="1" applyAlignment="1" applyProtection="1"/>
    <xf numFmtId="0" fontId="13" fillId="7" borderId="0" xfId="11" applyFont="1" applyFill="1" applyBorder="1" applyAlignment="1" applyProtection="1">
      <alignment horizontal="centerContinuous"/>
    </xf>
    <xf numFmtId="0" fontId="2" fillId="7" borderId="0" xfId="8" applyFont="1" applyFill="1" applyBorder="1" applyAlignment="1" applyProtection="1">
      <alignment vertical="justify"/>
      <protection locked="0"/>
    </xf>
    <xf numFmtId="10" fontId="2" fillId="7" borderId="0" xfId="8" applyNumberFormat="1" applyFont="1" applyFill="1" applyProtection="1">
      <protection locked="0"/>
    </xf>
    <xf numFmtId="172" fontId="2" fillId="7" borderId="0" xfId="8" applyNumberFormat="1" applyFont="1" applyFill="1" applyProtection="1">
      <protection locked="0"/>
    </xf>
    <xf numFmtId="0" fontId="3" fillId="7" borderId="0" xfId="8" applyFont="1" applyFill="1" applyBorder="1" applyProtection="1">
      <protection locked="0"/>
    </xf>
    <xf numFmtId="0" fontId="2" fillId="10" borderId="26" xfId="8" applyFont="1" applyFill="1" applyBorder="1" applyProtection="1">
      <protection locked="0"/>
    </xf>
    <xf numFmtId="172" fontId="2" fillId="10" borderId="26" xfId="8" applyNumberFormat="1" applyFont="1" applyFill="1" applyBorder="1" applyProtection="1">
      <protection locked="0"/>
    </xf>
    <xf numFmtId="3" fontId="2" fillId="10" borderId="17" xfId="8" applyNumberFormat="1" applyFont="1" applyFill="1" applyBorder="1" applyProtection="1"/>
    <xf numFmtId="172" fontId="2" fillId="10" borderId="17" xfId="8" applyNumberFormat="1" applyFont="1" applyFill="1" applyBorder="1" applyProtection="1"/>
    <xf numFmtId="5" fontId="13" fillId="10" borderId="0" xfId="5" applyNumberFormat="1" applyFont="1" applyFill="1" applyBorder="1" applyProtection="1">
      <protection locked="0"/>
    </xf>
    <xf numFmtId="5" fontId="28" fillId="10" borderId="0" xfId="6" applyFont="1" applyFill="1" applyBorder="1" applyAlignment="1" applyProtection="1">
      <alignment horizontal="right"/>
      <protection locked="0"/>
    </xf>
    <xf numFmtId="5" fontId="2" fillId="10" borderId="0" xfId="6" applyFont="1" applyFill="1" applyBorder="1" applyAlignment="1" applyProtection="1">
      <alignment horizontal="right"/>
      <protection locked="0"/>
    </xf>
    <xf numFmtId="5" fontId="13" fillId="10" borderId="0" xfId="6" applyFont="1" applyFill="1" applyBorder="1" applyProtection="1">
      <protection locked="0"/>
    </xf>
    <xf numFmtId="37" fontId="2" fillId="10" borderId="0" xfId="5" applyNumberFormat="1" applyFont="1" applyFill="1" applyBorder="1" applyProtection="1">
      <protection locked="0"/>
    </xf>
    <xf numFmtId="0" fontId="2" fillId="10" borderId="27" xfId="8" applyFont="1" applyFill="1" applyBorder="1" applyProtection="1">
      <protection locked="0"/>
    </xf>
    <xf numFmtId="0" fontId="2" fillId="10" borderId="28" xfId="8" applyFont="1" applyFill="1" applyBorder="1" applyAlignment="1" applyProtection="1">
      <alignment horizontal="center"/>
      <protection locked="0"/>
    </xf>
    <xf numFmtId="172" fontId="2" fillId="10" borderId="28" xfId="8" applyNumberFormat="1" applyFont="1" applyFill="1" applyBorder="1" applyProtection="1">
      <protection locked="0"/>
    </xf>
    <xf numFmtId="0" fontId="2" fillId="10" borderId="29" xfId="8" applyFont="1" applyFill="1" applyBorder="1" applyProtection="1">
      <protection locked="0"/>
    </xf>
    <xf numFmtId="10" fontId="2" fillId="10" borderId="30" xfId="8" applyNumberFormat="1" applyFont="1" applyFill="1" applyBorder="1" applyProtection="1">
      <protection locked="0"/>
    </xf>
    <xf numFmtId="10" fontId="2" fillId="10" borderId="31" xfId="8" applyNumberFormat="1" applyFont="1" applyFill="1" applyBorder="1" applyProtection="1">
      <protection locked="0"/>
    </xf>
    <xf numFmtId="0" fontId="2" fillId="10" borderId="32" xfId="8" applyFont="1" applyFill="1" applyBorder="1" applyProtection="1">
      <protection locked="0"/>
    </xf>
    <xf numFmtId="0" fontId="2" fillId="10" borderId="33" xfId="8" applyFont="1" applyFill="1" applyBorder="1" applyProtection="1">
      <protection locked="0"/>
    </xf>
    <xf numFmtId="10" fontId="2" fillId="10" borderId="34" xfId="8" applyNumberFormat="1" applyFont="1" applyFill="1" applyBorder="1" applyProtection="1">
      <protection locked="0"/>
    </xf>
    <xf numFmtId="172" fontId="2" fillId="10" borderId="0" xfId="8" applyNumberFormat="1" applyFont="1" applyFill="1" applyBorder="1" applyProtection="1">
      <protection locked="0"/>
    </xf>
    <xf numFmtId="10" fontId="2" fillId="10" borderId="0" xfId="8" applyNumberFormat="1" applyFont="1" applyFill="1" applyBorder="1" applyProtection="1">
      <protection locked="0"/>
    </xf>
    <xf numFmtId="5" fontId="1" fillId="10" borderId="25" xfId="5" applyNumberFormat="1" applyFont="1" applyFill="1" applyBorder="1" applyProtection="1"/>
    <xf numFmtId="10" fontId="1" fillId="8" borderId="1" xfId="8" applyNumberFormat="1" applyFont="1" applyFill="1" applyBorder="1" applyProtection="1">
      <protection locked="0"/>
    </xf>
    <xf numFmtId="165" fontId="1" fillId="8" borderId="1" xfId="5" applyNumberFormat="1" applyFont="1" applyFill="1" applyBorder="1" applyAlignment="1" applyProtection="1">
      <alignment horizontal="right"/>
    </xf>
    <xf numFmtId="3" fontId="1" fillId="8" borderId="1" xfId="8" applyNumberFormat="1" applyFont="1" applyFill="1" applyBorder="1" applyAlignment="1" applyProtection="1">
      <alignment horizontal="right"/>
    </xf>
    <xf numFmtId="5" fontId="1" fillId="10" borderId="0" xfId="5" applyNumberFormat="1" applyFont="1" applyFill="1" applyBorder="1" applyProtection="1"/>
    <xf numFmtId="174" fontId="1" fillId="10" borderId="0" xfId="8" applyNumberFormat="1" applyFont="1" applyFill="1" applyBorder="1" applyProtection="1"/>
    <xf numFmtId="174" fontId="1" fillId="10" borderId="3" xfId="8" applyNumberFormat="1" applyFont="1" applyFill="1" applyBorder="1" applyProtection="1"/>
    <xf numFmtId="38" fontId="1" fillId="8" borderId="1" xfId="8" applyNumberFormat="1" applyFont="1" applyFill="1" applyBorder="1" applyProtection="1">
      <protection locked="0"/>
    </xf>
    <xf numFmtId="5" fontId="1" fillId="10" borderId="0" xfId="5" applyNumberFormat="1" applyFont="1" applyFill="1" applyBorder="1" applyProtection="1">
      <protection locked="0"/>
    </xf>
    <xf numFmtId="37" fontId="1" fillId="10" borderId="3" xfId="5" applyNumberFormat="1" applyFont="1" applyFill="1" applyBorder="1" applyProtection="1"/>
    <xf numFmtId="173" fontId="1" fillId="10" borderId="0" xfId="5" applyNumberFormat="1" applyFont="1" applyFill="1" applyBorder="1" applyProtection="1">
      <protection locked="0"/>
    </xf>
    <xf numFmtId="165" fontId="1" fillId="10" borderId="3" xfId="5" applyNumberFormat="1" applyFont="1" applyFill="1" applyBorder="1" applyProtection="1"/>
    <xf numFmtId="165" fontId="1" fillId="10" borderId="0" xfId="5" applyNumberFormat="1" applyFont="1" applyFill="1" applyBorder="1" applyProtection="1">
      <protection locked="0"/>
    </xf>
    <xf numFmtId="37" fontId="1" fillId="10" borderId="3" xfId="5" applyNumberFormat="1" applyFont="1" applyFill="1" applyBorder="1" applyProtection="1">
      <protection locked="0"/>
    </xf>
    <xf numFmtId="172" fontId="1" fillId="10" borderId="28" xfId="8" applyNumberFormat="1" applyFont="1" applyFill="1" applyBorder="1" applyProtection="1">
      <protection locked="0"/>
    </xf>
    <xf numFmtId="38" fontId="1" fillId="8" borderId="1" xfId="3" applyNumberFormat="1" applyFont="1" applyFill="1" applyBorder="1" applyAlignment="1" applyProtection="1">
      <alignment horizontal="right"/>
      <protection locked="0"/>
    </xf>
    <xf numFmtId="172" fontId="1" fillId="7" borderId="0" xfId="11" applyNumberFormat="1" applyFont="1" applyFill="1" applyProtection="1"/>
    <xf numFmtId="10" fontId="1" fillId="7" borderId="0" xfId="11" applyNumberFormat="1" applyFont="1" applyFill="1" applyProtection="1"/>
    <xf numFmtId="0" fontId="13" fillId="10" borderId="0" xfId="8" applyFont="1" applyFill="1" applyBorder="1" applyAlignment="1" applyProtection="1">
      <alignment horizontal="center"/>
      <protection locked="0"/>
    </xf>
    <xf numFmtId="10" fontId="13" fillId="10" borderId="0" xfId="8" applyNumberFormat="1" applyFont="1" applyFill="1" applyBorder="1" applyAlignment="1" applyProtection="1">
      <alignment horizontal="center"/>
      <protection locked="0"/>
    </xf>
    <xf numFmtId="0" fontId="1" fillId="8" borderId="1" xfId="8" applyFont="1" applyFill="1" applyBorder="1" applyAlignment="1" applyProtection="1">
      <alignment horizontal="center"/>
      <protection locked="0"/>
    </xf>
    <xf numFmtId="0" fontId="2" fillId="8" borderId="1" xfId="8" applyFont="1" applyFill="1" applyBorder="1" applyAlignment="1" applyProtection="1">
      <alignment horizontal="center"/>
      <protection locked="0"/>
    </xf>
    <xf numFmtId="0" fontId="2" fillId="10" borderId="64" xfId="8" applyFont="1" applyFill="1" applyBorder="1" applyAlignment="1" applyProtection="1">
      <protection locked="0"/>
    </xf>
    <xf numFmtId="0" fontId="2" fillId="10" borderId="66" xfId="8" applyFont="1" applyFill="1" applyBorder="1" applyAlignment="1" applyProtection="1">
      <alignment vertical="justify"/>
      <protection locked="0"/>
    </xf>
    <xf numFmtId="0" fontId="24" fillId="10" borderId="0" xfId="8" applyFont="1" applyFill="1" applyBorder="1" applyAlignment="1" applyProtection="1">
      <alignment horizontal="left"/>
      <protection locked="0"/>
    </xf>
    <xf numFmtId="0" fontId="2" fillId="10" borderId="68" xfId="8" applyFont="1" applyFill="1" applyBorder="1" applyAlignment="1" applyProtection="1">
      <alignment vertical="justify"/>
      <protection locked="0"/>
    </xf>
    <xf numFmtId="0" fontId="21" fillId="10" borderId="0" xfId="8" applyFont="1" applyFill="1" applyBorder="1" applyAlignment="1" applyProtection="1">
      <alignment horizontal="left"/>
      <protection locked="0"/>
    </xf>
    <xf numFmtId="172" fontId="3" fillId="10" borderId="0" xfId="8" applyNumberFormat="1" applyFont="1" applyFill="1" applyBorder="1" applyAlignment="1" applyProtection="1">
      <alignment horizontal="right"/>
      <protection locked="0"/>
    </xf>
    <xf numFmtId="10" fontId="1" fillId="10" borderId="0" xfId="8" applyNumberFormat="1" applyFont="1" applyFill="1" applyBorder="1" applyAlignment="1" applyProtection="1">
      <alignment horizontal="center"/>
      <protection locked="0"/>
    </xf>
    <xf numFmtId="0" fontId="24" fillId="10" borderId="0" xfId="8" applyFont="1" applyFill="1" applyBorder="1" applyAlignment="1" applyProtection="1">
      <alignment horizontal="center"/>
      <protection locked="0"/>
    </xf>
    <xf numFmtId="172" fontId="24" fillId="10" borderId="0" xfId="8" applyNumberFormat="1" applyFont="1" applyFill="1" applyBorder="1" applyAlignment="1" applyProtection="1">
      <alignment horizontal="right"/>
      <protection locked="0"/>
    </xf>
    <xf numFmtId="10" fontId="24" fillId="10" borderId="0" xfId="8" applyNumberFormat="1" applyFont="1" applyFill="1" applyBorder="1" applyAlignment="1" applyProtection="1">
      <alignment horizontal="center"/>
      <protection locked="0"/>
    </xf>
    <xf numFmtId="0" fontId="24" fillId="10" borderId="0" xfId="8" applyFont="1" applyFill="1" applyBorder="1" applyAlignment="1" applyProtection="1">
      <alignment horizontal="right"/>
      <protection locked="0"/>
    </xf>
    <xf numFmtId="172" fontId="21" fillId="10" borderId="0" xfId="8" applyNumberFormat="1" applyFont="1" applyFill="1" applyBorder="1" applyAlignment="1" applyProtection="1">
      <alignment horizontal="center"/>
      <protection locked="0"/>
    </xf>
    <xf numFmtId="10" fontId="21" fillId="10" borderId="0" xfId="8" applyNumberFormat="1" applyFont="1" applyFill="1" applyBorder="1" applyAlignment="1" applyProtection="1">
      <alignment horizontal="center"/>
      <protection locked="0"/>
    </xf>
    <xf numFmtId="0" fontId="21" fillId="10" borderId="0" xfId="8" applyFont="1" applyFill="1" applyBorder="1" applyProtection="1">
      <protection locked="0"/>
    </xf>
    <xf numFmtId="10" fontId="1" fillId="10" borderId="0" xfId="8" applyNumberFormat="1" applyFont="1" applyFill="1" applyBorder="1" applyProtection="1">
      <protection locked="0"/>
    </xf>
    <xf numFmtId="3" fontId="1" fillId="10" borderId="0" xfId="8" applyNumberFormat="1" applyFont="1" applyFill="1" applyBorder="1" applyAlignment="1" applyProtection="1">
      <alignment horizontal="right"/>
      <protection locked="0"/>
    </xf>
    <xf numFmtId="3" fontId="13" fillId="10" borderId="0" xfId="8" applyNumberFormat="1" applyFont="1" applyFill="1" applyBorder="1" applyAlignment="1" applyProtection="1">
      <alignment horizontal="right"/>
      <protection locked="0"/>
    </xf>
    <xf numFmtId="10" fontId="13" fillId="10" borderId="0" xfId="8" applyNumberFormat="1" applyFont="1" applyFill="1" applyBorder="1" applyAlignment="1" applyProtection="1">
      <alignment horizontal="right"/>
      <protection locked="0"/>
    </xf>
    <xf numFmtId="0" fontId="3" fillId="10" borderId="0" xfId="8" applyFont="1" applyFill="1" applyBorder="1" applyAlignment="1" applyProtection="1">
      <protection locked="0"/>
    </xf>
    <xf numFmtId="0" fontId="3" fillId="10" borderId="0" xfId="8" applyFont="1" applyFill="1" applyBorder="1" applyAlignment="1" applyProtection="1">
      <alignment horizontal="right"/>
      <protection locked="0"/>
    </xf>
    <xf numFmtId="172" fontId="1" fillId="10" borderId="0" xfId="8" applyNumberFormat="1" applyFont="1" applyFill="1" applyBorder="1" applyProtection="1">
      <protection locked="0"/>
    </xf>
    <xf numFmtId="0" fontId="1" fillId="10" borderId="0" xfId="8" applyFont="1" applyFill="1" applyBorder="1" applyAlignment="1" applyProtection="1">
      <alignment horizontal="left" wrapText="1"/>
      <protection locked="0"/>
    </xf>
    <xf numFmtId="0" fontId="1" fillId="10" borderId="0" xfId="8" applyFont="1" applyFill="1" applyBorder="1" applyAlignment="1" applyProtection="1">
      <alignment vertical="top"/>
      <protection locked="0"/>
    </xf>
    <xf numFmtId="0" fontId="1" fillId="10" borderId="0" xfId="11" applyFont="1" applyFill="1" applyBorder="1" applyAlignment="1" applyProtection="1">
      <alignment vertical="top"/>
      <protection locked="0"/>
    </xf>
    <xf numFmtId="0" fontId="2" fillId="10" borderId="68" xfId="8" applyFont="1" applyFill="1" applyBorder="1" applyAlignment="1" applyProtection="1">
      <protection locked="0"/>
    </xf>
    <xf numFmtId="0" fontId="3" fillId="10" borderId="69" xfId="8" applyFont="1" applyFill="1" applyBorder="1" applyProtection="1">
      <protection locked="0"/>
    </xf>
    <xf numFmtId="172" fontId="2" fillId="10" borderId="70" xfId="8" applyNumberFormat="1" applyFont="1" applyFill="1" applyBorder="1" applyProtection="1">
      <protection locked="0"/>
    </xf>
    <xf numFmtId="10" fontId="2" fillId="10" borderId="70" xfId="8" applyNumberFormat="1" applyFont="1" applyFill="1" applyBorder="1" applyProtection="1">
      <protection locked="0"/>
    </xf>
    <xf numFmtId="0" fontId="88" fillId="7" borderId="0" xfId="8" applyFont="1" applyFill="1" applyAlignment="1" applyProtection="1">
      <alignment horizontal="center"/>
      <protection locked="0"/>
    </xf>
    <xf numFmtId="38" fontId="2" fillId="7" borderId="0" xfId="11" applyNumberFormat="1" applyFont="1" applyFill="1" applyProtection="1">
      <protection locked="0"/>
    </xf>
    <xf numFmtId="0" fontId="25" fillId="7" borderId="0" xfId="11" applyFont="1" applyFill="1" applyBorder="1" applyProtection="1">
      <protection locked="0" hidden="1"/>
    </xf>
    <xf numFmtId="6" fontId="2" fillId="8" borderId="1" xfId="11" applyNumberFormat="1" applyFont="1" applyFill="1" applyBorder="1" applyAlignment="1" applyProtection="1">
      <alignment horizontal="right"/>
      <protection locked="0"/>
    </xf>
    <xf numFmtId="0" fontId="24" fillId="10" borderId="0" xfId="11" applyFont="1" applyFill="1" applyBorder="1" applyAlignment="1" applyProtection="1">
      <alignment horizontal="centerContinuous"/>
      <protection locked="0"/>
    </xf>
    <xf numFmtId="6" fontId="1" fillId="10" borderId="3" xfId="11" applyNumberFormat="1" applyFont="1" applyFill="1" applyBorder="1" applyAlignment="1" applyProtection="1">
      <alignment horizontal="right"/>
    </xf>
    <xf numFmtId="6" fontId="1" fillId="10" borderId="3" xfId="6" applyNumberFormat="1" applyFont="1" applyFill="1" applyBorder="1" applyAlignment="1" applyProtection="1">
      <alignment horizontal="right"/>
    </xf>
    <xf numFmtId="6" fontId="1" fillId="10" borderId="0" xfId="6" applyNumberFormat="1" applyFont="1" applyFill="1" applyBorder="1" applyAlignment="1" applyProtection="1">
      <alignment horizontal="right"/>
    </xf>
    <xf numFmtId="38" fontId="1" fillId="10" borderId="0" xfId="6" applyNumberFormat="1" applyFont="1" applyFill="1" applyBorder="1" applyAlignment="1" applyProtection="1">
      <alignment horizontal="right"/>
    </xf>
    <xf numFmtId="38" fontId="1" fillId="10" borderId="3" xfId="6" applyNumberFormat="1" applyFont="1" applyFill="1" applyBorder="1" applyAlignment="1" applyProtection="1">
      <alignment horizontal="right"/>
    </xf>
    <xf numFmtId="38" fontId="1" fillId="10" borderId="4" xfId="11" applyNumberFormat="1" applyFont="1" applyFill="1" applyBorder="1" applyAlignment="1" applyProtection="1">
      <alignment horizontal="right"/>
      <protection locked="0"/>
    </xf>
    <xf numFmtId="38" fontId="13" fillId="10" borderId="4" xfId="11" applyNumberFormat="1" applyFont="1" applyFill="1" applyBorder="1" applyAlignment="1" applyProtection="1">
      <alignment horizontal="right"/>
      <protection locked="0"/>
    </xf>
    <xf numFmtId="38" fontId="1" fillId="10" borderId="4" xfId="6" applyNumberFormat="1" applyFont="1" applyFill="1" applyBorder="1" applyAlignment="1" applyProtection="1">
      <alignment horizontal="right"/>
      <protection locked="0"/>
    </xf>
    <xf numFmtId="6" fontId="1" fillId="10" borderId="2" xfId="6" applyNumberFormat="1" applyFont="1" applyFill="1" applyBorder="1" applyAlignment="1" applyProtection="1">
      <alignment horizontal="right"/>
    </xf>
    <xf numFmtId="0" fontId="2" fillId="10" borderId="3" xfId="11" applyFont="1" applyFill="1" applyBorder="1" applyProtection="1">
      <protection locked="0"/>
    </xf>
    <xf numFmtId="38" fontId="2" fillId="10" borderId="3" xfId="11" applyNumberFormat="1" applyFont="1" applyFill="1" applyBorder="1" applyProtection="1">
      <protection locked="0"/>
    </xf>
    <xf numFmtId="38" fontId="2" fillId="10" borderId="3" xfId="11" applyNumberFormat="1" applyFont="1" applyFill="1" applyBorder="1" applyAlignment="1" applyProtection="1">
      <alignment horizontal="left"/>
      <protection locked="0"/>
    </xf>
    <xf numFmtId="38" fontId="13" fillId="10" borderId="3" xfId="11" applyNumberFormat="1" applyFont="1" applyFill="1" applyBorder="1" applyProtection="1">
      <protection locked="0"/>
    </xf>
    <xf numFmtId="0" fontId="2" fillId="10" borderId="0" xfId="11" applyFont="1" applyFill="1" applyBorder="1" applyAlignment="1" applyProtection="1">
      <alignment horizontal="centerContinuous"/>
      <protection locked="0"/>
    </xf>
    <xf numFmtId="38" fontId="2" fillId="10" borderId="0" xfId="11" applyNumberFormat="1" applyFont="1" applyFill="1" applyBorder="1" applyAlignment="1" applyProtection="1">
      <alignment horizontal="centerContinuous"/>
      <protection locked="0"/>
    </xf>
    <xf numFmtId="38" fontId="2" fillId="10" borderId="0" xfId="11" applyNumberFormat="1" applyFont="1" applyFill="1" applyBorder="1" applyAlignment="1" applyProtection="1">
      <alignment horizontal="left"/>
      <protection locked="0"/>
    </xf>
    <xf numFmtId="38" fontId="13" fillId="10" borderId="0" xfId="11" applyNumberFormat="1" applyFont="1" applyFill="1" applyBorder="1" applyAlignment="1" applyProtection="1">
      <alignment horizontal="right"/>
      <protection locked="0"/>
    </xf>
    <xf numFmtId="38" fontId="13" fillId="10" borderId="0" xfId="6" applyNumberFormat="1" applyFont="1" applyFill="1" applyBorder="1" applyAlignment="1" applyProtection="1">
      <alignment horizontal="right"/>
    </xf>
    <xf numFmtId="37" fontId="1" fillId="10" borderId="0" xfId="6" applyNumberFormat="1" applyFont="1" applyFill="1" applyBorder="1" applyAlignment="1" applyProtection="1">
      <alignment horizontal="right"/>
      <protection locked="0"/>
    </xf>
    <xf numFmtId="38" fontId="1" fillId="10" borderId="0" xfId="11" applyNumberFormat="1" applyFont="1" applyFill="1" applyBorder="1" applyAlignment="1" applyProtection="1">
      <alignment horizontal="right"/>
      <protection locked="0"/>
    </xf>
    <xf numFmtId="6" fontId="1" fillId="10" borderId="2" xfId="11" applyNumberFormat="1" applyFont="1" applyFill="1" applyBorder="1" applyAlignment="1" applyProtection="1">
      <alignment horizontal="right"/>
    </xf>
    <xf numFmtId="38" fontId="13" fillId="10" borderId="0" xfId="6" applyNumberFormat="1" applyFont="1" applyFill="1" applyBorder="1" applyAlignment="1" applyProtection="1">
      <alignment horizontal="right"/>
      <protection locked="0"/>
    </xf>
    <xf numFmtId="0" fontId="2" fillId="10" borderId="3" xfId="11" applyFont="1" applyFill="1" applyBorder="1" applyAlignment="1" applyProtection="1">
      <alignment horizontal="right"/>
      <protection locked="0"/>
    </xf>
    <xf numFmtId="38" fontId="2" fillId="10" borderId="3" xfId="11" applyNumberFormat="1" applyFont="1" applyFill="1" applyBorder="1" applyAlignment="1" applyProtection="1">
      <alignment horizontal="right"/>
      <protection locked="0"/>
    </xf>
    <xf numFmtId="38" fontId="13" fillId="10" borderId="3" xfId="11" applyNumberFormat="1" applyFont="1" applyFill="1" applyBorder="1" applyAlignment="1" applyProtection="1">
      <alignment horizontal="right"/>
      <protection locked="0"/>
    </xf>
    <xf numFmtId="38" fontId="13" fillId="10" borderId="3" xfId="6" applyNumberFormat="1" applyFont="1" applyFill="1" applyBorder="1" applyAlignment="1" applyProtection="1">
      <alignment horizontal="right"/>
      <protection locked="0"/>
    </xf>
    <xf numFmtId="0" fontId="2" fillId="10" borderId="0" xfId="11" applyFont="1" applyFill="1" applyBorder="1" applyAlignment="1" applyProtection="1">
      <alignment horizontal="right"/>
      <protection locked="0"/>
    </xf>
    <xf numFmtId="38" fontId="2" fillId="10" borderId="0" xfId="11" applyNumberFormat="1" applyFont="1" applyFill="1" applyBorder="1" applyAlignment="1" applyProtection="1">
      <alignment horizontal="right"/>
      <protection locked="0"/>
    </xf>
    <xf numFmtId="0" fontId="3" fillId="7" borderId="0" xfId="11" applyFont="1" applyFill="1" applyBorder="1" applyAlignment="1" applyProtection="1">
      <alignment horizontal="center"/>
      <protection locked="0"/>
    </xf>
    <xf numFmtId="38" fontId="3" fillId="10" borderId="0" xfId="11" applyNumberFormat="1" applyFont="1" applyFill="1" applyBorder="1" applyAlignment="1" applyProtection="1">
      <alignment horizontal="center"/>
      <protection locked="0"/>
    </xf>
    <xf numFmtId="38" fontId="24" fillId="10" borderId="0" xfId="11" applyNumberFormat="1" applyFont="1" applyFill="1" applyBorder="1" applyAlignment="1" applyProtection="1">
      <alignment horizontal="center"/>
      <protection locked="0"/>
    </xf>
    <xf numFmtId="38" fontId="2" fillId="8" borderId="1" xfId="11" applyNumberFormat="1" applyFont="1" applyFill="1" applyBorder="1" applyAlignment="1" applyProtection="1">
      <alignment horizontal="right"/>
      <protection locked="0"/>
    </xf>
    <xf numFmtId="37" fontId="1" fillId="8" borderId="1" xfId="11" applyNumberFormat="1" applyFont="1" applyFill="1" applyBorder="1" applyAlignment="1" applyProtection="1">
      <alignment horizontal="right"/>
      <protection locked="0"/>
    </xf>
    <xf numFmtId="10" fontId="1" fillId="10" borderId="3" xfId="12" applyNumberFormat="1" applyFont="1" applyFill="1" applyBorder="1" applyProtection="1">
      <protection locked="0"/>
    </xf>
    <xf numFmtId="9" fontId="1" fillId="10" borderId="0" xfId="12" applyFont="1" applyFill="1" applyBorder="1" applyProtection="1">
      <protection locked="0"/>
    </xf>
    <xf numFmtId="5" fontId="1" fillId="10" borderId="2" xfId="6" applyFont="1" applyFill="1" applyBorder="1" applyProtection="1"/>
    <xf numFmtId="5" fontId="1" fillId="10" borderId="3" xfId="6" applyFont="1" applyFill="1" applyBorder="1" applyProtection="1"/>
    <xf numFmtId="9" fontId="1" fillId="10" borderId="9" xfId="12" applyNumberFormat="1" applyFont="1" applyFill="1" applyBorder="1" applyProtection="1"/>
    <xf numFmtId="0" fontId="1" fillId="10" borderId="64" xfId="11" applyFont="1" applyFill="1" applyBorder="1" applyAlignment="1" applyProtection="1">
      <protection locked="0"/>
    </xf>
    <xf numFmtId="38" fontId="3" fillId="10" borderId="65" xfId="11" applyNumberFormat="1" applyFont="1" applyFill="1" applyBorder="1" applyAlignment="1" applyProtection="1">
      <alignment horizontal="center"/>
      <protection locked="0"/>
    </xf>
    <xf numFmtId="38" fontId="1" fillId="10" borderId="0" xfId="11" applyNumberFormat="1" applyFont="1" applyFill="1" applyBorder="1" applyProtection="1">
      <protection locked="0"/>
    </xf>
    <xf numFmtId="6" fontId="1" fillId="10" borderId="0" xfId="11" applyNumberFormat="1" applyFont="1" applyFill="1" applyBorder="1" applyAlignment="1" applyProtection="1">
      <alignment horizontal="right"/>
    </xf>
    <xf numFmtId="38" fontId="1" fillId="10" borderId="0" xfId="11" applyNumberFormat="1" applyFont="1" applyFill="1" applyBorder="1" applyAlignment="1" applyProtection="1">
      <alignment horizontal="right"/>
    </xf>
    <xf numFmtId="6" fontId="1" fillId="10" borderId="0" xfId="11" applyNumberFormat="1" applyFont="1" applyFill="1" applyBorder="1" applyAlignment="1" applyProtection="1">
      <alignment horizontal="right"/>
      <protection locked="0"/>
    </xf>
    <xf numFmtId="0" fontId="1" fillId="10" borderId="80" xfId="11" applyFont="1" applyFill="1" applyBorder="1" applyProtection="1">
      <protection locked="0"/>
    </xf>
    <xf numFmtId="38" fontId="2" fillId="10" borderId="0" xfId="11" applyNumberFormat="1" applyFont="1" applyFill="1" applyBorder="1" applyProtection="1">
      <protection locked="0"/>
    </xf>
    <xf numFmtId="38" fontId="13" fillId="10" borderId="0" xfId="11" applyNumberFormat="1" applyFont="1" applyFill="1" applyBorder="1" applyAlignment="1" applyProtection="1">
      <alignment horizontal="left"/>
      <protection locked="0"/>
    </xf>
    <xf numFmtId="0" fontId="1" fillId="10" borderId="0" xfId="11" applyNumberFormat="1" applyFont="1" applyFill="1" applyBorder="1" applyProtection="1">
      <protection locked="0"/>
    </xf>
    <xf numFmtId="0" fontId="2" fillId="10" borderId="80" xfId="11" applyFont="1" applyFill="1" applyBorder="1" applyProtection="1">
      <protection locked="0"/>
    </xf>
    <xf numFmtId="6" fontId="1" fillId="10" borderId="0" xfId="6" applyNumberFormat="1" applyFont="1" applyFill="1" applyBorder="1" applyProtection="1"/>
    <xf numFmtId="10" fontId="2" fillId="10" borderId="0" xfId="12" applyNumberFormat="1" applyFont="1" applyFill="1" applyBorder="1" applyProtection="1">
      <protection locked="0"/>
    </xf>
    <xf numFmtId="38" fontId="2" fillId="10" borderId="70" xfId="11" applyNumberFormat="1" applyFont="1" applyFill="1" applyBorder="1" applyProtection="1">
      <protection locked="0"/>
    </xf>
    <xf numFmtId="10" fontId="1" fillId="8" borderId="1" xfId="12" applyNumberFormat="1" applyFont="1" applyFill="1" applyBorder="1" applyProtection="1">
      <protection locked="0"/>
    </xf>
    <xf numFmtId="0" fontId="13" fillId="10" borderId="64" xfId="11" applyFont="1" applyFill="1" applyBorder="1" applyAlignment="1" applyProtection="1">
      <alignment horizontal="right"/>
      <protection locked="0"/>
    </xf>
    <xf numFmtId="0" fontId="13" fillId="10" borderId="67" xfId="11" applyFont="1" applyFill="1" applyBorder="1" applyAlignment="1" applyProtection="1">
      <alignment horizontal="right"/>
      <protection locked="0"/>
    </xf>
    <xf numFmtId="0" fontId="13" fillId="10" borderId="69" xfId="11" applyFont="1" applyFill="1" applyBorder="1" applyAlignment="1" applyProtection="1">
      <alignment horizontal="right"/>
      <protection locked="0"/>
    </xf>
    <xf numFmtId="0" fontId="1" fillId="10" borderId="28" xfId="8" applyFont="1" applyFill="1" applyBorder="1" applyAlignment="1" applyProtection="1">
      <alignment horizontal="right"/>
      <protection locked="0"/>
    </xf>
    <xf numFmtId="0" fontId="1" fillId="4" borderId="0" xfId="8" applyFont="1" applyFill="1"/>
    <xf numFmtId="3" fontId="1" fillId="11" borderId="2" xfId="8" applyNumberFormat="1" applyFont="1" applyFill="1" applyBorder="1" applyAlignment="1" applyProtection="1">
      <alignment horizontal="right"/>
    </xf>
    <xf numFmtId="3" fontId="1" fillId="11" borderId="3" xfId="8" applyNumberFormat="1" applyFont="1" applyFill="1" applyBorder="1" applyAlignment="1" applyProtection="1">
      <alignment horizontal="right"/>
    </xf>
    <xf numFmtId="5" fontId="1" fillId="8" borderId="5" xfId="6" applyFont="1" applyFill="1" applyBorder="1" applyProtection="1">
      <protection locked="0"/>
    </xf>
    <xf numFmtId="168" fontId="1" fillId="8" borderId="7" xfId="11" applyNumberFormat="1" applyFont="1" applyFill="1" applyBorder="1" applyProtection="1">
      <protection locked="0"/>
    </xf>
    <xf numFmtId="0" fontId="1" fillId="0" borderId="0" xfId="8" applyFont="1" applyFill="1"/>
    <xf numFmtId="165" fontId="2" fillId="8" borderId="1" xfId="8" applyNumberFormat="1" applyFont="1" applyFill="1" applyBorder="1" applyProtection="1">
      <protection locked="0"/>
    </xf>
    <xf numFmtId="0" fontId="1" fillId="0" borderId="0" xfId="8" applyFont="1" applyFill="1" applyBorder="1" applyAlignment="1" applyProtection="1">
      <alignment vertical="top"/>
      <protection locked="0"/>
    </xf>
    <xf numFmtId="37" fontId="2" fillId="0" borderId="0" xfId="3" applyNumberFormat="1" applyFont="1" applyFill="1" applyProtection="1">
      <protection locked="0"/>
    </xf>
    <xf numFmtId="0" fontId="4" fillId="8" borderId="5" xfId="8" applyFont="1" applyFill="1" applyBorder="1" applyProtection="1">
      <protection locked="0"/>
    </xf>
    <xf numFmtId="0" fontId="1" fillId="8" borderId="6" xfId="8" applyFont="1" applyFill="1" applyBorder="1" applyProtection="1">
      <protection locked="0"/>
    </xf>
    <xf numFmtId="0" fontId="1" fillId="8" borderId="7" xfId="8" applyFont="1" applyFill="1" applyBorder="1" applyProtection="1">
      <protection locked="0"/>
    </xf>
    <xf numFmtId="173" fontId="81" fillId="11" borderId="1" xfId="4" applyNumberFormat="1" applyFont="1" applyFill="1" applyBorder="1" applyProtection="1"/>
    <xf numFmtId="0" fontId="86" fillId="10" borderId="0" xfId="0" applyFont="1" applyFill="1" applyBorder="1" applyAlignment="1">
      <alignment horizontal="center"/>
    </xf>
    <xf numFmtId="0" fontId="6" fillId="0" borderId="0" xfId="8" applyFont="1" applyFill="1"/>
    <xf numFmtId="0" fontId="87" fillId="0" borderId="0" xfId="8" applyFont="1" applyFill="1" applyProtection="1">
      <protection hidden="1"/>
    </xf>
    <xf numFmtId="175" fontId="80" fillId="10" borderId="0" xfId="2" applyNumberFormat="1" applyFont="1" applyFill="1" applyBorder="1" applyProtection="1">
      <protection locked="0"/>
    </xf>
    <xf numFmtId="0" fontId="2" fillId="8" borderId="1" xfId="8" applyFont="1" applyFill="1" applyBorder="1" applyAlignment="1" applyProtection="1">
      <alignment horizontal="left" vertical="center"/>
      <protection locked="0"/>
    </xf>
    <xf numFmtId="0" fontId="80" fillId="8" borderId="1" xfId="0" applyFont="1" applyFill="1" applyBorder="1" applyProtection="1">
      <protection locked="0"/>
    </xf>
    <xf numFmtId="0" fontId="80" fillId="10" borderId="0" xfId="0" applyFont="1" applyFill="1" applyBorder="1" applyProtection="1">
      <protection locked="0"/>
    </xf>
    <xf numFmtId="1" fontId="45" fillId="10" borderId="0" xfId="11" applyNumberFormat="1" applyFont="1" applyFill="1" applyBorder="1" applyAlignment="1" applyProtection="1">
      <alignment horizontal="right"/>
      <protection locked="0"/>
    </xf>
    <xf numFmtId="1" fontId="45" fillId="10" borderId="0" xfId="11" applyNumberFormat="1" applyFont="1" applyFill="1" applyBorder="1" applyProtection="1">
      <protection locked="0"/>
    </xf>
    <xf numFmtId="1" fontId="45" fillId="10" borderId="3" xfId="11" applyNumberFormat="1" applyFont="1" applyFill="1" applyBorder="1" applyProtection="1">
      <protection locked="0"/>
    </xf>
    <xf numFmtId="5" fontId="45" fillId="10" borderId="0" xfId="6" applyFont="1" applyFill="1" applyBorder="1" applyProtection="1">
      <protection locked="0" hidden="1"/>
    </xf>
    <xf numFmtId="166" fontId="80" fillId="10" borderId="0" xfId="0" applyNumberFormat="1" applyFont="1" applyFill="1" applyBorder="1" applyProtection="1">
      <protection locked="0"/>
    </xf>
    <xf numFmtId="175" fontId="45" fillId="10" borderId="0" xfId="2" applyNumberFormat="1" applyFont="1" applyFill="1" applyBorder="1" applyProtection="1">
      <protection locked="0"/>
    </xf>
    <xf numFmtId="175" fontId="45" fillId="10" borderId="3" xfId="2" applyNumberFormat="1" applyFont="1" applyFill="1" applyBorder="1" applyProtection="1">
      <protection locked="0"/>
    </xf>
    <xf numFmtId="0" fontId="1" fillId="8" borderId="5" xfId="8" applyFont="1" applyFill="1" applyBorder="1" applyAlignment="1" applyProtection="1">
      <alignment horizontal="left" vertical="center"/>
      <protection locked="0"/>
    </xf>
    <xf numFmtId="5" fontId="45" fillId="8" borderId="1" xfId="6" applyNumberFormat="1" applyFont="1" applyFill="1" applyBorder="1" applyProtection="1">
      <protection locked="0"/>
    </xf>
    <xf numFmtId="5" fontId="45" fillId="10" borderId="3" xfId="6" applyNumberFormat="1" applyFont="1" applyFill="1" applyBorder="1" applyProtection="1">
      <protection hidden="1"/>
    </xf>
    <xf numFmtId="5" fontId="45" fillId="10" borderId="0" xfId="11" applyNumberFormat="1" applyFont="1" applyFill="1" applyBorder="1" applyAlignment="1" applyProtection="1">
      <alignment horizontal="fill"/>
      <protection locked="0"/>
    </xf>
    <xf numFmtId="5" fontId="45" fillId="10" borderId="0" xfId="6" applyNumberFormat="1" applyFont="1" applyFill="1" applyBorder="1" applyProtection="1">
      <protection hidden="1"/>
    </xf>
    <xf numFmtId="5" fontId="45" fillId="10" borderId="2" xfId="6" applyNumberFormat="1" applyFont="1" applyFill="1" applyBorder="1" applyProtection="1">
      <protection hidden="1"/>
    </xf>
    <xf numFmtId="5" fontId="1" fillId="12" borderId="0" xfId="6" applyFont="1" applyFill="1" applyBorder="1" applyProtection="1"/>
    <xf numFmtId="168" fontId="1" fillId="10" borderId="0" xfId="11" applyNumberFormat="1" applyFont="1" applyFill="1" applyBorder="1" applyProtection="1"/>
    <xf numFmtId="0" fontId="1" fillId="10" borderId="0" xfId="11" applyFont="1" applyFill="1" applyBorder="1" applyAlignment="1" applyProtection="1">
      <alignment horizontal="fill"/>
    </xf>
    <xf numFmtId="0" fontId="60" fillId="0" borderId="0" xfId="11" applyFont="1" applyFill="1" applyAlignment="1" applyProtection="1">
      <alignment vertical="top" wrapText="1"/>
      <protection locked="0"/>
    </xf>
    <xf numFmtId="168" fontId="1" fillId="10" borderId="0" xfId="11" applyNumberFormat="1" applyFont="1" applyFill="1" applyBorder="1" applyProtection="1">
      <protection locked="0"/>
    </xf>
    <xf numFmtId="0" fontId="1" fillId="10" borderId="6" xfId="8" applyFill="1" applyBorder="1" applyAlignment="1">
      <alignment horizontal="center"/>
    </xf>
    <xf numFmtId="0" fontId="1" fillId="10" borderId="7" xfId="8" applyFill="1" applyBorder="1" applyAlignment="1">
      <alignment horizontal="center"/>
    </xf>
    <xf numFmtId="0" fontId="1" fillId="7" borderId="0" xfId="8" applyFill="1" applyAlignment="1">
      <alignment horizontal="center" vertical="center"/>
    </xf>
    <xf numFmtId="0" fontId="1" fillId="10" borderId="67" xfId="8" applyFill="1" applyBorder="1" applyAlignment="1">
      <alignment horizontal="center" vertical="center"/>
    </xf>
    <xf numFmtId="0" fontId="1" fillId="10" borderId="68" xfId="8" applyFill="1" applyBorder="1" applyAlignment="1">
      <alignment horizontal="center" vertical="center"/>
    </xf>
    <xf numFmtId="0" fontId="1" fillId="0" borderId="0" xfId="8" applyFill="1" applyAlignment="1">
      <alignment horizontal="center" vertical="center"/>
    </xf>
    <xf numFmtId="0" fontId="1" fillId="0" borderId="0" xfId="8" applyAlignment="1">
      <alignment horizontal="center" vertical="center"/>
    </xf>
    <xf numFmtId="166" fontId="80" fillId="0" borderId="19" xfId="0" applyNumberFormat="1" applyFont="1" applyFill="1" applyBorder="1" applyProtection="1">
      <protection locked="0"/>
    </xf>
    <xf numFmtId="7" fontId="81" fillId="0" borderId="1" xfId="11" applyNumberFormat="1" applyFont="1" applyFill="1" applyBorder="1" applyProtection="1">
      <protection locked="0"/>
    </xf>
    <xf numFmtId="176" fontId="2" fillId="8" borderId="1" xfId="8" applyNumberFormat="1" applyFont="1" applyFill="1" applyBorder="1" applyProtection="1">
      <protection locked="0"/>
    </xf>
    <xf numFmtId="5" fontId="1" fillId="8" borderId="1" xfId="8" applyNumberFormat="1" applyFill="1" applyBorder="1" applyProtection="1">
      <protection locked="0"/>
    </xf>
    <xf numFmtId="5" fontId="1" fillId="8" borderId="1" xfId="4" applyNumberFormat="1" applyFont="1" applyFill="1" applyBorder="1" applyProtection="1">
      <protection locked="0"/>
    </xf>
    <xf numFmtId="5" fontId="1" fillId="0" borderId="1" xfId="6" applyFont="1" applyFill="1" applyBorder="1" applyAlignment="1" applyProtection="1">
      <alignment horizontal="right"/>
      <protection locked="0"/>
    </xf>
    <xf numFmtId="37" fontId="2" fillId="7" borderId="0" xfId="3" applyNumberFormat="1" applyFont="1" applyFill="1" applyProtection="1">
      <protection locked="0"/>
    </xf>
    <xf numFmtId="0" fontId="2" fillId="0" borderId="0" xfId="11" applyFont="1" applyFill="1" applyAlignment="1" applyProtection="1">
      <alignment vertical="top" wrapText="1"/>
      <protection locked="0"/>
    </xf>
    <xf numFmtId="49" fontId="1" fillId="8" borderId="18" xfId="8" applyNumberFormat="1" applyFill="1" applyBorder="1" applyAlignment="1" applyProtection="1">
      <alignment vertical="center"/>
      <protection locked="0"/>
    </xf>
    <xf numFmtId="49" fontId="1" fillId="8" borderId="19" xfId="8" applyNumberFormat="1" applyFill="1" applyBorder="1" applyAlignment="1" applyProtection="1">
      <alignment vertical="center"/>
      <protection locked="0"/>
    </xf>
    <xf numFmtId="0" fontId="3" fillId="7" borderId="0" xfId="8" applyFont="1" applyFill="1" applyAlignment="1" applyProtection="1">
      <alignment horizontal="left" vertical="top" wrapText="1"/>
      <protection locked="0"/>
    </xf>
    <xf numFmtId="0" fontId="89" fillId="0" borderId="0" xfId="8" applyFont="1"/>
    <xf numFmtId="0" fontId="2" fillId="10" borderId="0" xfId="8" applyFont="1" applyFill="1" applyBorder="1" applyProtection="1"/>
    <xf numFmtId="0" fontId="3" fillId="10" borderId="0" xfId="8" applyFont="1" applyFill="1" applyBorder="1" applyAlignment="1" applyProtection="1">
      <alignment wrapText="1"/>
    </xf>
    <xf numFmtId="0" fontId="3" fillId="10" borderId="0" xfId="8" applyFont="1" applyFill="1" applyBorder="1" applyProtection="1"/>
    <xf numFmtId="0" fontId="3" fillId="10" borderId="1" xfId="8" applyFont="1" applyFill="1" applyBorder="1" applyAlignment="1" applyProtection="1">
      <alignment horizontal="center" vertical="center"/>
    </xf>
    <xf numFmtId="0" fontId="3" fillId="10" borderId="1" xfId="8" applyFont="1" applyFill="1" applyBorder="1" applyAlignment="1" applyProtection="1">
      <alignment horizontal="center" vertical="center" wrapText="1"/>
    </xf>
    <xf numFmtId="0" fontId="81" fillId="10" borderId="0" xfId="8" applyFont="1" applyFill="1" applyBorder="1" applyAlignment="1" applyProtection="1">
      <alignment horizontal="left" wrapText="1"/>
      <protection locked="0"/>
    </xf>
    <xf numFmtId="0" fontId="81" fillId="10" borderId="0" xfId="8" applyFont="1" applyFill="1" applyBorder="1" applyAlignment="1" applyProtection="1">
      <alignment wrapText="1"/>
      <protection locked="0"/>
    </xf>
    <xf numFmtId="0" fontId="81" fillId="7" borderId="0" xfId="8" applyFont="1" applyFill="1" applyBorder="1" applyAlignment="1" applyProtection="1">
      <alignment horizontal="left" vertical="top"/>
      <protection locked="0"/>
    </xf>
    <xf numFmtId="0" fontId="81" fillId="10" borderId="67" xfId="8" applyFont="1" applyFill="1" applyBorder="1" applyAlignment="1" applyProtection="1">
      <alignment horizontal="left" vertical="top"/>
      <protection locked="0"/>
    </xf>
    <xf numFmtId="0" fontId="81" fillId="10" borderId="68" xfId="8" applyFont="1" applyFill="1" applyBorder="1" applyAlignment="1" applyProtection="1">
      <alignment horizontal="left" vertical="top"/>
      <protection locked="0"/>
    </xf>
    <xf numFmtId="0" fontId="81" fillId="7" borderId="0" xfId="8" applyFont="1" applyFill="1" applyAlignment="1" applyProtection="1">
      <alignment horizontal="left" vertical="top"/>
      <protection locked="0"/>
    </xf>
    <xf numFmtId="0" fontId="81" fillId="0" borderId="0" xfId="8" applyFont="1" applyAlignment="1" applyProtection="1">
      <alignment horizontal="left" vertical="top"/>
      <protection locked="0"/>
    </xf>
    <xf numFmtId="0" fontId="83" fillId="10" borderId="0" xfId="8" applyFont="1" applyFill="1" applyBorder="1" applyAlignment="1" applyProtection="1"/>
    <xf numFmtId="0" fontId="84" fillId="10" borderId="0" xfId="8" applyFont="1" applyFill="1" applyBorder="1" applyAlignment="1" applyProtection="1">
      <alignment horizontal="left" vertical="top"/>
    </xf>
    <xf numFmtId="0" fontId="1" fillId="10" borderId="0" xfId="8" applyFont="1" applyFill="1" applyBorder="1" applyAlignment="1" applyProtection="1">
      <alignment horizontal="left" vertical="top" wrapText="1"/>
    </xf>
    <xf numFmtId="0" fontId="81" fillId="7" borderId="0" xfId="8" applyFont="1" applyFill="1" applyBorder="1" applyAlignment="1" applyProtection="1">
      <alignment horizontal="left" vertical="top"/>
    </xf>
    <xf numFmtId="0" fontId="83" fillId="10" borderId="67" xfId="8" applyFont="1" applyFill="1" applyBorder="1" applyAlignment="1" applyProtection="1">
      <alignment horizontal="left" vertical="top"/>
    </xf>
    <xf numFmtId="0" fontId="81" fillId="10" borderId="68" xfId="8" applyFont="1" applyFill="1" applyBorder="1" applyAlignment="1" applyProtection="1">
      <alignment horizontal="left" vertical="top"/>
    </xf>
    <xf numFmtId="0" fontId="81" fillId="7" borderId="0" xfId="8" applyFont="1" applyFill="1" applyAlignment="1" applyProtection="1">
      <alignment horizontal="left" vertical="top"/>
    </xf>
    <xf numFmtId="0" fontId="81" fillId="0" borderId="0" xfId="8" applyFont="1" applyFill="1" applyAlignment="1" applyProtection="1">
      <alignment horizontal="left" vertical="top"/>
    </xf>
    <xf numFmtId="0" fontId="81" fillId="0" borderId="0" xfId="8" applyFont="1" applyAlignment="1" applyProtection="1">
      <alignment horizontal="left" vertical="top"/>
    </xf>
    <xf numFmtId="0" fontId="81" fillId="7" borderId="0" xfId="8" applyFont="1" applyFill="1" applyProtection="1"/>
    <xf numFmtId="0" fontId="81" fillId="10" borderId="67" xfId="8" applyFont="1" applyFill="1" applyBorder="1" applyProtection="1"/>
    <xf numFmtId="0" fontId="83" fillId="10" borderId="0" xfId="8" applyFont="1" applyFill="1" applyBorder="1" applyProtection="1"/>
    <xf numFmtId="0" fontId="81" fillId="10" borderId="0" xfId="8" applyFont="1" applyFill="1" applyBorder="1" applyProtection="1"/>
    <xf numFmtId="0" fontId="81" fillId="10" borderId="68" xfId="8" applyFont="1" applyFill="1" applyBorder="1" applyProtection="1"/>
    <xf numFmtId="0" fontId="81" fillId="0" borderId="0" xfId="8" applyFont="1" applyFill="1" applyProtection="1"/>
    <xf numFmtId="0" fontId="81" fillId="0" borderId="0" xfId="8" applyFont="1" applyProtection="1"/>
    <xf numFmtId="0" fontId="81" fillId="7" borderId="0" xfId="8" applyFont="1" applyFill="1" applyBorder="1" applyProtection="1"/>
    <xf numFmtId="0" fontId="83" fillId="7" borderId="0" xfId="8" applyFont="1" applyFill="1" applyBorder="1" applyAlignment="1" applyProtection="1">
      <alignment horizontal="center" vertical="top"/>
      <protection locked="0"/>
    </xf>
    <xf numFmtId="0" fontId="81" fillId="10" borderId="65" xfId="8" applyFont="1" applyFill="1" applyBorder="1" applyAlignment="1" applyProtection="1">
      <alignment vertical="top"/>
    </xf>
    <xf numFmtId="0" fontId="81" fillId="10" borderId="65" xfId="8" applyFont="1" applyFill="1" applyBorder="1" applyAlignment="1" applyProtection="1">
      <alignment horizontal="center" shrinkToFit="1"/>
    </xf>
    <xf numFmtId="42" fontId="84" fillId="10" borderId="65" xfId="5" applyNumberFormat="1" applyFont="1" applyFill="1" applyBorder="1" applyProtection="1"/>
    <xf numFmtId="0" fontId="81" fillId="10" borderId="65" xfId="8" applyFont="1" applyFill="1" applyBorder="1" applyAlignment="1" applyProtection="1">
      <alignment wrapText="1"/>
    </xf>
    <xf numFmtId="0" fontId="81" fillId="10" borderId="0" xfId="8" applyFont="1" applyFill="1" applyBorder="1" applyAlignment="1" applyProtection="1">
      <alignment horizontal="center" shrinkToFit="1"/>
    </xf>
    <xf numFmtId="42" fontId="84" fillId="10" borderId="0" xfId="5" applyNumberFormat="1" applyFont="1" applyFill="1" applyBorder="1" applyProtection="1"/>
    <xf numFmtId="0" fontId="81" fillId="10" borderId="0" xfId="8" applyFont="1" applyFill="1" applyBorder="1" applyAlignment="1" applyProtection="1">
      <alignment wrapText="1"/>
    </xf>
    <xf numFmtId="0" fontId="82" fillId="10" borderId="0" xfId="8" applyFont="1" applyFill="1" applyBorder="1" applyAlignment="1" applyProtection="1">
      <alignment vertical="top"/>
    </xf>
    <xf numFmtId="0" fontId="81" fillId="10" borderId="0" xfId="8" applyFont="1" applyFill="1" applyProtection="1"/>
    <xf numFmtId="0" fontId="81" fillId="10" borderId="69" xfId="8" applyFont="1" applyFill="1" applyBorder="1" applyProtection="1"/>
    <xf numFmtId="0" fontId="81" fillId="10" borderId="70" xfId="8" applyFont="1" applyFill="1" applyBorder="1" applyAlignment="1" applyProtection="1">
      <alignment vertical="top"/>
    </xf>
    <xf numFmtId="0" fontId="81" fillId="10" borderId="70" xfId="8" applyFont="1" applyFill="1" applyBorder="1" applyAlignment="1" applyProtection="1">
      <alignment horizontal="center" shrinkToFit="1"/>
    </xf>
    <xf numFmtId="42" fontId="84" fillId="10" borderId="70" xfId="5" applyNumberFormat="1" applyFont="1" applyFill="1" applyBorder="1" applyProtection="1"/>
    <xf numFmtId="0" fontId="81" fillId="10" borderId="70" xfId="8" applyFont="1" applyFill="1" applyBorder="1" applyAlignment="1" applyProtection="1">
      <alignment wrapText="1"/>
    </xf>
    <xf numFmtId="0" fontId="81" fillId="10" borderId="66" xfId="8" applyFont="1" applyFill="1" applyBorder="1" applyProtection="1"/>
    <xf numFmtId="0" fontId="81" fillId="10" borderId="71" xfId="8" applyFont="1" applyFill="1" applyBorder="1" applyProtection="1"/>
    <xf numFmtId="0" fontId="81" fillId="8" borderId="1" xfId="8" applyFont="1" applyFill="1" applyBorder="1" applyAlignment="1" applyProtection="1">
      <alignment horizontal="center" vertical="center"/>
      <protection locked="0"/>
    </xf>
    <xf numFmtId="0" fontId="81" fillId="8" borderId="82" xfId="8" applyFont="1" applyFill="1" applyBorder="1" applyAlignment="1" applyProtection="1">
      <alignment horizontal="center" vertical="center"/>
      <protection locked="0"/>
    </xf>
    <xf numFmtId="0" fontId="81" fillId="0" borderId="0" xfId="8" applyFont="1" applyFill="1" applyAlignment="1" applyProtection="1">
      <alignment horizontal="left" vertical="top"/>
      <protection locked="0"/>
    </xf>
    <xf numFmtId="0" fontId="1" fillId="10" borderId="0" xfId="8" applyFont="1" applyFill="1" applyBorder="1" applyAlignment="1" applyProtection="1">
      <alignment vertical="top" wrapText="1"/>
    </xf>
    <xf numFmtId="0" fontId="81" fillId="7" borderId="0" xfId="8" applyFont="1" applyFill="1" applyBorder="1" applyAlignment="1" applyProtection="1">
      <alignment wrapText="1"/>
    </xf>
    <xf numFmtId="0" fontId="81" fillId="7" borderId="0" xfId="8" applyFont="1" applyFill="1" applyBorder="1" applyAlignment="1" applyProtection="1">
      <alignment vertical="top"/>
    </xf>
    <xf numFmtId="42" fontId="84" fillId="7" borderId="0" xfId="5" applyNumberFormat="1" applyFont="1" applyFill="1" applyBorder="1" applyProtection="1"/>
    <xf numFmtId="0" fontId="81" fillId="7" borderId="0" xfId="8" applyFont="1" applyFill="1" applyBorder="1" applyAlignment="1" applyProtection="1">
      <alignment horizontal="center" shrinkToFit="1"/>
    </xf>
    <xf numFmtId="0" fontId="8" fillId="10" borderId="0" xfId="7" applyFill="1" applyAlignment="1" applyProtection="1">
      <alignment horizontal="left" vertical="top" wrapText="1"/>
    </xf>
    <xf numFmtId="0" fontId="81" fillId="10" borderId="0" xfId="0" applyFont="1" applyFill="1" applyAlignment="1" applyProtection="1">
      <alignment horizontal="left" vertical="top" wrapText="1"/>
    </xf>
    <xf numFmtId="0" fontId="81" fillId="10" borderId="0" xfId="8" applyFont="1" applyFill="1" applyProtection="1">
      <protection locked="0"/>
    </xf>
    <xf numFmtId="0" fontId="81" fillId="10" borderId="68" xfId="0" applyFont="1" applyFill="1" applyBorder="1" applyAlignment="1" applyProtection="1">
      <alignment vertical="top"/>
    </xf>
    <xf numFmtId="0" fontId="8" fillId="10" borderId="68" xfId="7" applyFill="1" applyBorder="1" applyAlignment="1" applyProtection="1">
      <alignment vertical="top" wrapText="1"/>
    </xf>
    <xf numFmtId="0" fontId="1" fillId="8" borderId="1" xfId="8" applyFill="1" applyBorder="1" applyAlignment="1" applyProtection="1">
      <alignment horizontal="center" vertical="center"/>
      <protection locked="0"/>
    </xf>
    <xf numFmtId="0" fontId="1" fillId="10" borderId="0" xfId="8" applyFont="1" applyFill="1" applyBorder="1"/>
    <xf numFmtId="49" fontId="1" fillId="8" borderId="11" xfId="8" applyNumberFormat="1" applyFill="1" applyBorder="1" applyAlignment="1" applyProtection="1">
      <alignment horizontal="center"/>
      <protection locked="0"/>
    </xf>
    <xf numFmtId="49" fontId="1" fillId="8" borderId="20" xfId="8" applyNumberFormat="1" applyFill="1" applyBorder="1" applyAlignment="1" applyProtection="1">
      <alignment horizontal="center"/>
      <protection locked="0"/>
    </xf>
    <xf numFmtId="49" fontId="1" fillId="8" borderId="18" xfId="8" applyNumberFormat="1" applyFill="1" applyBorder="1" applyAlignment="1" applyProtection="1">
      <alignment horizontal="center" vertical="center"/>
      <protection locked="0"/>
    </xf>
    <xf numFmtId="49" fontId="1" fillId="8" borderId="19" xfId="8" applyNumberFormat="1" applyFill="1" applyBorder="1" applyAlignment="1" applyProtection="1">
      <alignment horizontal="center" vertical="center"/>
      <protection locked="0"/>
    </xf>
    <xf numFmtId="0" fontId="2" fillId="7" borderId="0" xfId="11" applyFont="1" applyFill="1" applyAlignment="1" applyProtection="1">
      <alignment vertical="center"/>
      <protection locked="0"/>
    </xf>
    <xf numFmtId="0" fontId="14" fillId="10" borderId="67" xfId="11" applyFont="1" applyFill="1" applyBorder="1" applyAlignment="1" applyProtection="1">
      <alignment vertical="center"/>
      <protection locked="0"/>
    </xf>
    <xf numFmtId="0" fontId="45" fillId="10" borderId="0" xfId="11" applyFont="1" applyFill="1" applyBorder="1" applyAlignment="1" applyProtection="1">
      <alignment vertical="center"/>
      <protection locked="0"/>
    </xf>
    <xf numFmtId="37" fontId="45" fillId="10" borderId="0" xfId="6" applyNumberFormat="1" applyFont="1" applyFill="1" applyBorder="1" applyAlignment="1" applyProtection="1">
      <alignment vertical="center"/>
      <protection hidden="1"/>
    </xf>
    <xf numFmtId="0" fontId="3" fillId="10" borderId="68" xfId="11" applyFont="1" applyFill="1" applyBorder="1" applyAlignment="1" applyProtection="1">
      <alignment vertical="center"/>
      <protection locked="0"/>
    </xf>
    <xf numFmtId="0" fontId="2" fillId="0" borderId="0" xfId="11" applyFont="1" applyAlignment="1" applyProtection="1">
      <alignment vertical="center"/>
      <protection locked="0"/>
    </xf>
    <xf numFmtId="37" fontId="45" fillId="10" borderId="0" xfId="2" applyNumberFormat="1" applyFont="1" applyFill="1" applyBorder="1" applyAlignment="1" applyProtection="1">
      <alignment vertical="center"/>
      <protection locked="0" hidden="1"/>
    </xf>
    <xf numFmtId="0" fontId="0" fillId="10" borderId="0" xfId="0" applyFill="1"/>
    <xf numFmtId="0" fontId="80" fillId="10" borderId="0" xfId="0" applyFont="1" applyFill="1" applyBorder="1" applyAlignment="1">
      <alignment horizontal="center"/>
    </xf>
    <xf numFmtId="0" fontId="86" fillId="9" borderId="5" xfId="0" applyFont="1" applyFill="1" applyBorder="1" applyAlignment="1">
      <alignment horizontal="right"/>
    </xf>
    <xf numFmtId="0" fontId="86" fillId="9" borderId="6" xfId="0" applyFont="1" applyFill="1" applyBorder="1" applyAlignment="1">
      <alignment horizontal="right"/>
    </xf>
    <xf numFmtId="0" fontId="86" fillId="9" borderId="7" xfId="0" applyFont="1" applyFill="1" applyBorder="1" applyAlignment="1">
      <alignment horizontal="right"/>
    </xf>
    <xf numFmtId="0" fontId="86" fillId="9" borderId="1" xfId="0" applyFont="1" applyFill="1" applyBorder="1" applyAlignment="1">
      <alignment horizontal="right"/>
    </xf>
    <xf numFmtId="37" fontId="80" fillId="10" borderId="35" xfId="11" applyNumberFormat="1" applyFont="1" applyFill="1" applyBorder="1" applyProtection="1"/>
    <xf numFmtId="37" fontId="80" fillId="10" borderId="36" xfId="11" applyNumberFormat="1" applyFont="1" applyFill="1" applyBorder="1" applyProtection="1"/>
    <xf numFmtId="173" fontId="80" fillId="10" borderId="37" xfId="4" applyNumberFormat="1" applyFont="1" applyFill="1" applyBorder="1" applyProtection="1"/>
    <xf numFmtId="173" fontId="80" fillId="10" borderId="38" xfId="4" applyNumberFormat="1" applyFont="1" applyFill="1" applyBorder="1" applyProtection="1"/>
    <xf numFmtId="37" fontId="81" fillId="10" borderId="0" xfId="11" applyNumberFormat="1" applyFont="1" applyFill="1" applyBorder="1" applyProtection="1"/>
    <xf numFmtId="0" fontId="86" fillId="9" borderId="39" xfId="0" applyFont="1" applyFill="1" applyBorder="1" applyAlignment="1">
      <alignment horizontal="right"/>
    </xf>
    <xf numFmtId="0" fontId="86" fillId="9" borderId="40" xfId="0" applyFont="1" applyFill="1" applyBorder="1" applyAlignment="1">
      <alignment horizontal="right"/>
    </xf>
    <xf numFmtId="37" fontId="80" fillId="8" borderId="36" xfId="11" applyNumberFormat="1" applyFont="1" applyFill="1" applyBorder="1" applyProtection="1">
      <protection locked="0"/>
    </xf>
    <xf numFmtId="0" fontId="86" fillId="9" borderId="41" xfId="0" applyFont="1" applyFill="1" applyBorder="1" applyAlignment="1">
      <alignment horizontal="right"/>
    </xf>
    <xf numFmtId="0" fontId="86" fillId="9" borderId="42" xfId="0" applyFont="1" applyFill="1" applyBorder="1" applyAlignment="1">
      <alignment horizontal="right"/>
    </xf>
    <xf numFmtId="37" fontId="80" fillId="8" borderId="38" xfId="11" applyNumberFormat="1" applyFont="1" applyFill="1" applyBorder="1" applyProtection="1">
      <protection locked="0"/>
    </xf>
    <xf numFmtId="37" fontId="80" fillId="13" borderId="43" xfId="11" applyNumberFormat="1" applyFont="1" applyFill="1" applyBorder="1" applyProtection="1"/>
    <xf numFmtId="37" fontId="80" fillId="13" borderId="44" xfId="11" applyNumberFormat="1" applyFont="1" applyFill="1" applyBorder="1" applyProtection="1"/>
    <xf numFmtId="37" fontId="80" fillId="13" borderId="45" xfId="11" applyNumberFormat="1" applyFont="1" applyFill="1" applyBorder="1" applyProtection="1"/>
    <xf numFmtId="37" fontId="80" fillId="13" borderId="46" xfId="11" applyNumberFormat="1" applyFont="1" applyFill="1" applyBorder="1" applyProtection="1"/>
    <xf numFmtId="173" fontId="80" fillId="13" borderId="45" xfId="4" applyNumberFormat="1" applyFont="1" applyFill="1" applyBorder="1" applyProtection="1"/>
    <xf numFmtId="37" fontId="80" fillId="14" borderId="36" xfId="11" applyNumberFormat="1" applyFont="1" applyFill="1" applyBorder="1" applyProtection="1">
      <protection locked="0"/>
    </xf>
    <xf numFmtId="37" fontId="80" fillId="14" borderId="1" xfId="11" applyNumberFormat="1" applyFont="1" applyFill="1" applyBorder="1" applyProtection="1">
      <protection locked="0"/>
    </xf>
    <xf numFmtId="37" fontId="80" fillId="14" borderId="38" xfId="11" applyNumberFormat="1" applyFont="1" applyFill="1" applyBorder="1" applyProtection="1">
      <protection locked="0"/>
    </xf>
    <xf numFmtId="37" fontId="80" fillId="14" borderId="47" xfId="11" applyNumberFormat="1" applyFont="1" applyFill="1" applyBorder="1" applyProtection="1">
      <protection locked="0"/>
    </xf>
    <xf numFmtId="37" fontId="80" fillId="14" borderId="48" xfId="11" applyNumberFormat="1" applyFont="1" applyFill="1" applyBorder="1" applyProtection="1">
      <protection locked="0"/>
    </xf>
    <xf numFmtId="37" fontId="80" fillId="14" borderId="18" xfId="11" applyNumberFormat="1" applyFont="1" applyFill="1" applyBorder="1" applyProtection="1">
      <protection locked="0"/>
    </xf>
    <xf numFmtId="37" fontId="80" fillId="14" borderId="49" xfId="11" applyNumberFormat="1" applyFont="1" applyFill="1" applyBorder="1" applyProtection="1">
      <protection locked="0"/>
    </xf>
    <xf numFmtId="37" fontId="80" fillId="14" borderId="50" xfId="11" applyNumberFormat="1" applyFont="1" applyFill="1" applyBorder="1" applyProtection="1">
      <protection locked="0"/>
    </xf>
    <xf numFmtId="37" fontId="80" fillId="0" borderId="36" xfId="11" applyNumberFormat="1" applyFont="1" applyFill="1" applyBorder="1" applyProtection="1">
      <protection locked="0"/>
    </xf>
    <xf numFmtId="37" fontId="80" fillId="0" borderId="1" xfId="11" applyNumberFormat="1" applyFont="1" applyFill="1" applyBorder="1" applyProtection="1">
      <protection locked="0"/>
    </xf>
    <xf numFmtId="37" fontId="80" fillId="0" borderId="38" xfId="11" applyNumberFormat="1" applyFont="1" applyFill="1" applyBorder="1" applyProtection="1">
      <protection locked="0"/>
    </xf>
    <xf numFmtId="0" fontId="90" fillId="10" borderId="0" xfId="0" applyFont="1" applyFill="1" applyBorder="1"/>
    <xf numFmtId="37" fontId="81" fillId="13" borderId="5" xfId="11" applyNumberFormat="1" applyFont="1" applyFill="1" applyBorder="1" applyProtection="1"/>
    <xf numFmtId="37" fontId="81" fillId="13" borderId="6" xfId="11" applyNumberFormat="1" applyFont="1" applyFill="1" applyBorder="1" applyProtection="1"/>
    <xf numFmtId="37" fontId="81" fillId="13" borderId="7" xfId="11" applyNumberFormat="1" applyFont="1" applyFill="1" applyBorder="1" applyProtection="1"/>
    <xf numFmtId="37" fontId="81" fillId="13" borderId="1" xfId="11" applyNumberFormat="1" applyFont="1" applyFill="1" applyBorder="1" applyProtection="1"/>
    <xf numFmtId="37" fontId="81" fillId="13" borderId="8" xfId="11" applyNumberFormat="1" applyFont="1" applyFill="1" applyBorder="1" applyProtection="1"/>
    <xf numFmtId="173" fontId="81" fillId="13" borderId="1" xfId="4" applyNumberFormat="1" applyFont="1" applyFill="1" applyBorder="1" applyProtection="1"/>
    <xf numFmtId="5" fontId="81" fillId="10" borderId="1" xfId="11" applyNumberFormat="1" applyFont="1" applyFill="1" applyBorder="1" applyProtection="1"/>
    <xf numFmtId="5" fontId="81" fillId="13" borderId="1" xfId="11" applyNumberFormat="1" applyFont="1" applyFill="1" applyBorder="1" applyProtection="1"/>
    <xf numFmtId="165" fontId="81" fillId="13" borderId="1" xfId="11" applyNumberFormat="1" applyFont="1" applyFill="1" applyBorder="1" applyProtection="1"/>
    <xf numFmtId="37" fontId="81" fillId="15" borderId="5" xfId="11" applyNumberFormat="1" applyFont="1" applyFill="1" applyBorder="1" applyProtection="1"/>
    <xf numFmtId="37" fontId="81" fillId="15" borderId="6" xfId="11" applyNumberFormat="1" applyFont="1" applyFill="1" applyBorder="1" applyProtection="1"/>
    <xf numFmtId="37" fontId="81" fillId="15" borderId="7" xfId="11" applyNumberFormat="1" applyFont="1" applyFill="1" applyBorder="1" applyProtection="1"/>
    <xf numFmtId="37" fontId="81" fillId="15" borderId="1" xfId="11" applyNumberFormat="1" applyFont="1" applyFill="1" applyBorder="1" applyProtection="1"/>
    <xf numFmtId="44" fontId="81" fillId="15" borderId="8" xfId="4" applyFont="1" applyFill="1" applyBorder="1" applyProtection="1"/>
    <xf numFmtId="173" fontId="81" fillId="15" borderId="1" xfId="4" applyNumberFormat="1" applyFont="1" applyFill="1" applyBorder="1" applyProtection="1"/>
    <xf numFmtId="5" fontId="81" fillId="15" borderId="1" xfId="11" applyNumberFormat="1" applyFont="1" applyFill="1" applyBorder="1" applyProtection="1"/>
    <xf numFmtId="0" fontId="2" fillId="15" borderId="1" xfId="11" applyFont="1" applyFill="1" applyBorder="1" applyProtection="1"/>
    <xf numFmtId="37" fontId="80" fillId="11" borderId="35" xfId="11" applyNumberFormat="1" applyFont="1" applyFill="1" applyBorder="1" applyProtection="1"/>
    <xf numFmtId="37" fontId="80" fillId="11" borderId="36" xfId="11" applyNumberFormat="1" applyFont="1" applyFill="1" applyBorder="1" applyProtection="1"/>
    <xf numFmtId="173" fontId="80" fillId="11" borderId="37" xfId="4" applyNumberFormat="1" applyFont="1" applyFill="1" applyBorder="1" applyProtection="1"/>
    <xf numFmtId="173" fontId="80" fillId="11" borderId="38" xfId="4" applyNumberFormat="1" applyFont="1" applyFill="1" applyBorder="1" applyProtection="1"/>
    <xf numFmtId="37" fontId="81" fillId="11" borderId="0" xfId="11" applyNumberFormat="1" applyFont="1" applyFill="1" applyBorder="1" applyProtection="1"/>
    <xf numFmtId="37" fontId="80" fillId="0" borderId="47" xfId="11" applyNumberFormat="1" applyFont="1" applyFill="1" applyBorder="1" applyProtection="1">
      <protection locked="0"/>
    </xf>
    <xf numFmtId="37" fontId="80" fillId="15" borderId="43" xfId="11" applyNumberFormat="1" applyFont="1" applyFill="1" applyBorder="1" applyProtection="1"/>
    <xf numFmtId="37" fontId="80" fillId="15" borderId="44" xfId="11" applyNumberFormat="1" applyFont="1" applyFill="1" applyBorder="1" applyProtection="1"/>
    <xf numFmtId="37" fontId="80" fillId="15" borderId="45" xfId="11" applyNumberFormat="1" applyFont="1" applyFill="1" applyBorder="1" applyProtection="1"/>
    <xf numFmtId="37" fontId="80" fillId="15" borderId="46" xfId="11" applyNumberFormat="1" applyFont="1" applyFill="1" applyBorder="1" applyProtection="1"/>
    <xf numFmtId="173" fontId="80" fillId="15" borderId="45" xfId="4" applyNumberFormat="1" applyFont="1" applyFill="1" applyBorder="1" applyProtection="1"/>
    <xf numFmtId="166" fontId="80" fillId="11" borderId="0" xfId="0" applyNumberFormat="1" applyFont="1" applyFill="1" applyBorder="1" applyProtection="1">
      <protection locked="0"/>
    </xf>
    <xf numFmtId="37" fontId="80" fillId="0" borderId="50" xfId="11" applyNumberFormat="1" applyFont="1" applyFill="1" applyBorder="1" applyProtection="1">
      <protection locked="0"/>
    </xf>
    <xf numFmtId="0" fontId="86" fillId="10" borderId="0" xfId="11" applyFont="1" applyFill="1" applyBorder="1" applyAlignment="1" applyProtection="1">
      <alignment horizontal="right" wrapText="1"/>
      <protection locked="0"/>
    </xf>
    <xf numFmtId="0" fontId="86" fillId="10" borderId="0" xfId="11" applyFont="1" applyFill="1" applyBorder="1" applyAlignment="1" applyProtection="1">
      <alignment horizontal="right"/>
      <protection locked="0"/>
    </xf>
    <xf numFmtId="37" fontId="86" fillId="10" borderId="0" xfId="11" applyNumberFormat="1" applyFont="1" applyFill="1" applyBorder="1" applyAlignment="1" applyProtection="1">
      <alignment horizontal="right" wrapText="1"/>
      <protection locked="0"/>
    </xf>
    <xf numFmtId="49" fontId="1" fillId="8" borderId="1" xfId="11" applyNumberFormat="1" applyFont="1" applyFill="1" applyBorder="1" applyAlignment="1" applyProtection="1">
      <alignment horizontal="center"/>
      <protection locked="0"/>
    </xf>
    <xf numFmtId="49" fontId="2" fillId="8" borderId="1" xfId="11" applyNumberFormat="1" applyFont="1" applyFill="1" applyBorder="1" applyAlignment="1" applyProtection="1">
      <alignment horizontal="center"/>
      <protection locked="0"/>
    </xf>
    <xf numFmtId="0" fontId="81" fillId="10" borderId="0" xfId="8" applyFont="1" applyFill="1" applyBorder="1" applyAlignment="1" applyProtection="1">
      <alignment wrapText="1"/>
      <protection locked="0"/>
    </xf>
    <xf numFmtId="0" fontId="81" fillId="8" borderId="1" xfId="8" applyFont="1" applyFill="1" applyBorder="1" applyAlignment="1" applyProtection="1">
      <alignment horizontal="center" vertical="center" wrapText="1"/>
      <protection locked="0"/>
    </xf>
    <xf numFmtId="0" fontId="81" fillId="10" borderId="0" xfId="8" applyFont="1" applyFill="1" applyBorder="1" applyAlignment="1" applyProtection="1">
      <alignment horizontal="center" vertical="center" wrapText="1"/>
    </xf>
    <xf numFmtId="0" fontId="81" fillId="10" borderId="0" xfId="8" applyFont="1" applyFill="1" applyBorder="1" applyAlignment="1" applyProtection="1">
      <alignment horizontal="center" vertical="center"/>
      <protection locked="0"/>
    </xf>
    <xf numFmtId="0" fontId="85" fillId="10" borderId="64" xfId="8" applyFont="1" applyFill="1" applyBorder="1" applyProtection="1">
      <protection locked="0"/>
    </xf>
    <xf numFmtId="0" fontId="85" fillId="10" borderId="64" xfId="8" applyFont="1" applyFill="1" applyBorder="1" applyProtection="1"/>
    <xf numFmtId="0" fontId="81" fillId="10" borderId="0" xfId="8" applyFont="1" applyFill="1" applyBorder="1" applyAlignment="1" applyProtection="1">
      <alignment horizontal="left"/>
      <protection locked="0"/>
    </xf>
    <xf numFmtId="0" fontId="91" fillId="10" borderId="0" xfId="8" applyFont="1" applyFill="1" applyBorder="1" applyAlignment="1" applyProtection="1">
      <alignment horizontal="center" vertical="center"/>
      <protection locked="0"/>
    </xf>
    <xf numFmtId="0" fontId="81" fillId="10" borderId="0" xfId="8" applyFont="1" applyFill="1" applyBorder="1" applyAlignment="1" applyProtection="1">
      <alignment horizontal="left" shrinkToFit="1"/>
      <protection locked="0"/>
    </xf>
    <xf numFmtId="177" fontId="81" fillId="8" borderId="1" xfId="8" applyNumberFormat="1" applyFont="1" applyFill="1" applyBorder="1" applyAlignment="1" applyProtection="1">
      <alignment horizontal="center" vertical="center"/>
      <protection locked="0"/>
    </xf>
    <xf numFmtId="0" fontId="91" fillId="10" borderId="0" xfId="8" applyFont="1" applyFill="1" applyBorder="1" applyAlignment="1" applyProtection="1">
      <alignment horizontal="center"/>
      <protection locked="0"/>
    </xf>
    <xf numFmtId="44" fontId="83" fillId="10" borderId="1" xfId="4" applyFont="1" applyFill="1" applyBorder="1" applyAlignment="1" applyProtection="1">
      <alignment horizontal="center" vertical="center"/>
    </xf>
    <xf numFmtId="0" fontId="91" fillId="10" borderId="21" xfId="8" applyFont="1" applyFill="1" applyBorder="1" applyAlignment="1" applyProtection="1">
      <alignment horizontal="center"/>
      <protection locked="0"/>
    </xf>
    <xf numFmtId="0" fontId="92" fillId="10" borderId="0" xfId="8" applyFont="1" applyFill="1" applyBorder="1" applyAlignment="1" applyProtection="1">
      <alignment horizontal="center"/>
      <protection locked="0"/>
    </xf>
    <xf numFmtId="2" fontId="81" fillId="8" borderId="1" xfId="8" applyNumberFormat="1" applyFont="1" applyFill="1" applyBorder="1" applyAlignment="1" applyProtection="1">
      <alignment horizontal="center" vertical="center"/>
      <protection locked="0"/>
    </xf>
    <xf numFmtId="0" fontId="81" fillId="10" borderId="0" xfId="8" applyFont="1" applyFill="1" applyBorder="1" applyAlignment="1" applyProtection="1">
      <alignment horizontal="left" vertical="top"/>
    </xf>
    <xf numFmtId="0" fontId="81" fillId="10" borderId="10" xfId="8" applyFont="1" applyFill="1" applyBorder="1" applyAlignment="1" applyProtection="1">
      <alignment horizontal="left" vertical="top"/>
    </xf>
    <xf numFmtId="0" fontId="93" fillId="10" borderId="0" xfId="0" applyFont="1" applyFill="1" applyAlignment="1">
      <alignment vertical="center"/>
    </xf>
    <xf numFmtId="0" fontId="81" fillId="10" borderId="68" xfId="8" applyFont="1" applyFill="1" applyBorder="1" applyAlignment="1" applyProtection="1">
      <alignment horizontal="center" vertical="center"/>
      <protection locked="0"/>
    </xf>
    <xf numFmtId="7" fontId="81" fillId="8" borderId="82" xfId="8" applyNumberFormat="1" applyFont="1" applyFill="1" applyBorder="1" applyAlignment="1" applyProtection="1">
      <alignment horizontal="center" vertical="center"/>
      <protection locked="0"/>
    </xf>
    <xf numFmtId="0" fontId="1" fillId="16" borderId="0" xfId="8" applyFill="1" applyBorder="1" applyProtection="1">
      <protection locked="0"/>
    </xf>
    <xf numFmtId="0" fontId="4" fillId="10" borderId="0" xfId="11" applyFont="1" applyFill="1" applyProtection="1">
      <protection hidden="1"/>
    </xf>
    <xf numFmtId="0" fontId="1" fillId="10" borderId="0" xfId="11" applyFont="1" applyFill="1" applyProtection="1">
      <protection locked="0"/>
    </xf>
    <xf numFmtId="0" fontId="1" fillId="10" borderId="0" xfId="11" applyFont="1" applyFill="1" applyAlignment="1" applyProtection="1">
      <alignment horizontal="right"/>
      <protection locked="0"/>
    </xf>
    <xf numFmtId="0" fontId="1" fillId="10" borderId="0" xfId="11" applyFont="1" applyFill="1" applyAlignment="1" applyProtection="1">
      <alignment horizontal="centerContinuous"/>
      <protection locked="0"/>
    </xf>
    <xf numFmtId="0" fontId="1" fillId="0" borderId="1" xfId="11" applyFont="1" applyBorder="1" applyProtection="1">
      <protection locked="0"/>
    </xf>
    <xf numFmtId="0" fontId="1" fillId="0" borderId="1" xfId="11" applyFont="1" applyBorder="1" applyAlignment="1" applyProtection="1">
      <alignment horizontal="center" wrapText="1"/>
      <protection locked="0"/>
    </xf>
    <xf numFmtId="0" fontId="0" fillId="0" borderId="0" xfId="0" applyAlignment="1">
      <alignment vertical="center"/>
    </xf>
    <xf numFmtId="0" fontId="3" fillId="17" borderId="1" xfId="11" applyFont="1" applyFill="1" applyBorder="1" applyAlignment="1" applyProtection="1">
      <alignment horizontal="center" vertical="center" wrapText="1"/>
      <protection locked="0"/>
    </xf>
    <xf numFmtId="0" fontId="60" fillId="0" borderId="0" xfId="11" applyFont="1" applyFill="1" applyBorder="1" applyAlignment="1" applyProtection="1">
      <alignment horizontal="left" vertical="top" wrapText="1"/>
      <protection locked="0"/>
    </xf>
    <xf numFmtId="42" fontId="45" fillId="10" borderId="0" xfId="4" applyNumberFormat="1" applyFont="1" applyFill="1" applyBorder="1" applyProtection="1">
      <protection locked="0"/>
    </xf>
    <xf numFmtId="41" fontId="45" fillId="10" borderId="0" xfId="8" applyNumberFormat="1" applyFont="1" applyFill="1" applyBorder="1" applyProtection="1"/>
    <xf numFmtId="41" fontId="13" fillId="10" borderId="0" xfId="8" applyNumberFormat="1" applyFont="1" applyFill="1" applyBorder="1" applyProtection="1">
      <protection locked="0"/>
    </xf>
    <xf numFmtId="41" fontId="45" fillId="10" borderId="3" xfId="4" applyNumberFormat="1" applyFont="1" applyFill="1" applyBorder="1" applyProtection="1">
      <protection locked="0"/>
    </xf>
    <xf numFmtId="41" fontId="45" fillId="10" borderId="0" xfId="4" applyNumberFormat="1" applyFont="1" applyFill="1" applyBorder="1" applyProtection="1">
      <protection locked="0"/>
    </xf>
    <xf numFmtId="0" fontId="1" fillId="10" borderId="0" xfId="11" applyFont="1" applyFill="1" applyBorder="1" applyAlignment="1" applyProtection="1">
      <alignment horizontal="center" wrapText="1"/>
      <protection locked="0"/>
    </xf>
    <xf numFmtId="175" fontId="80" fillId="8" borderId="1" xfId="2" applyNumberFormat="1" applyFont="1" applyFill="1" applyBorder="1" applyProtection="1">
      <protection locked="0"/>
    </xf>
    <xf numFmtId="0" fontId="83" fillId="11" borderId="9" xfId="11" applyFont="1" applyFill="1" applyBorder="1" applyAlignment="1" applyProtection="1">
      <alignment horizontal="center"/>
      <protection locked="0"/>
    </xf>
    <xf numFmtId="0" fontId="86" fillId="11" borderId="0" xfId="0" applyFont="1" applyFill="1" applyBorder="1" applyProtection="1">
      <protection locked="0"/>
    </xf>
    <xf numFmtId="0" fontId="86" fillId="11" borderId="0" xfId="8" applyFont="1" applyFill="1" applyBorder="1" applyAlignment="1" applyProtection="1">
      <alignment horizontal="left"/>
    </xf>
    <xf numFmtId="0" fontId="81" fillId="11" borderId="0" xfId="8" applyFont="1" applyFill="1" applyBorder="1" applyAlignment="1" applyProtection="1">
      <alignment horizontal="right"/>
    </xf>
    <xf numFmtId="37" fontId="83" fillId="11" borderId="0" xfId="11" applyNumberFormat="1" applyFont="1" applyFill="1" applyBorder="1" applyAlignment="1" applyProtection="1">
      <alignment horizontal="left"/>
    </xf>
    <xf numFmtId="37" fontId="86" fillId="11" borderId="0" xfId="11" applyNumberFormat="1" applyFont="1" applyFill="1" applyBorder="1" applyAlignment="1" applyProtection="1">
      <alignment horizontal="right"/>
    </xf>
    <xf numFmtId="0" fontId="83" fillId="11" borderId="0" xfId="8" applyFont="1" applyFill="1" applyBorder="1" applyAlignment="1" applyProtection="1">
      <alignment horizontal="right"/>
    </xf>
    <xf numFmtId="37" fontId="83" fillId="11" borderId="0" xfId="11" applyNumberFormat="1" applyFont="1" applyFill="1" applyBorder="1" applyAlignment="1" applyProtection="1">
      <alignment horizontal="right"/>
    </xf>
    <xf numFmtId="0" fontId="86" fillId="11" borderId="0" xfId="0" applyFont="1" applyFill="1" applyBorder="1" applyProtection="1"/>
    <xf numFmtId="0" fontId="80" fillId="11" borderId="0" xfId="0" applyFont="1" applyFill="1" applyBorder="1" applyProtection="1"/>
    <xf numFmtId="0" fontId="0" fillId="11" borderId="0" xfId="0" applyFill="1" applyBorder="1" applyProtection="1"/>
    <xf numFmtId="0" fontId="86" fillId="11" borderId="0" xfId="0" applyFont="1" applyFill="1" applyBorder="1" applyAlignment="1" applyProtection="1">
      <alignment horizontal="right"/>
    </xf>
    <xf numFmtId="0" fontId="94" fillId="11" borderId="0" xfId="0" applyFont="1" applyFill="1" applyBorder="1" applyProtection="1"/>
    <xf numFmtId="0" fontId="0" fillId="11" borderId="0" xfId="0" applyFill="1" applyBorder="1" applyAlignment="1" applyProtection="1">
      <alignment horizontal="center"/>
    </xf>
    <xf numFmtId="0" fontId="86" fillId="11" borderId="0" xfId="0" applyFont="1" applyFill="1" applyBorder="1" applyAlignment="1" applyProtection="1">
      <alignment horizontal="center" wrapText="1"/>
    </xf>
    <xf numFmtId="0" fontId="86" fillId="11" borderId="0" xfId="0" applyFont="1" applyFill="1" applyBorder="1" applyAlignment="1" applyProtection="1">
      <alignment horizontal="center"/>
    </xf>
    <xf numFmtId="0" fontId="86" fillId="9" borderId="5" xfId="0" applyFont="1" applyFill="1" applyBorder="1" applyAlignment="1" applyProtection="1">
      <alignment horizontal="right"/>
    </xf>
    <xf numFmtId="175" fontId="80" fillId="8" borderId="1" xfId="2" applyNumberFormat="1" applyFont="1" applyFill="1" applyBorder="1" applyProtection="1"/>
    <xf numFmtId="166" fontId="80" fillId="0" borderId="19" xfId="0" applyNumberFormat="1" applyFont="1" applyFill="1" applyBorder="1" applyProtection="1"/>
    <xf numFmtId="166" fontId="80" fillId="11" borderId="0" xfId="0" applyNumberFormat="1" applyFont="1" applyFill="1" applyBorder="1" applyProtection="1"/>
    <xf numFmtId="0" fontId="86" fillId="9" borderId="6" xfId="0" applyFont="1" applyFill="1" applyBorder="1" applyAlignment="1" applyProtection="1">
      <alignment horizontal="right"/>
    </xf>
    <xf numFmtId="0" fontId="86" fillId="9" borderId="7" xfId="0" applyFont="1" applyFill="1" applyBorder="1" applyAlignment="1" applyProtection="1">
      <alignment horizontal="right"/>
    </xf>
    <xf numFmtId="0" fontId="86" fillId="9" borderId="1" xfId="0" applyFont="1" applyFill="1" applyBorder="1" applyAlignment="1" applyProtection="1">
      <alignment horizontal="right"/>
    </xf>
    <xf numFmtId="0" fontId="86" fillId="11" borderId="0" xfId="11" applyFont="1" applyFill="1" applyBorder="1" applyAlignment="1" applyProtection="1">
      <alignment horizontal="right" wrapText="1"/>
    </xf>
    <xf numFmtId="0" fontId="86" fillId="11" borderId="0" xfId="11" applyFont="1" applyFill="1" applyBorder="1" applyAlignment="1" applyProtection="1">
      <alignment horizontal="right"/>
    </xf>
    <xf numFmtId="37" fontId="86" fillId="11" borderId="0" xfId="11" applyNumberFormat="1" applyFont="1" applyFill="1" applyBorder="1" applyAlignment="1" applyProtection="1">
      <alignment horizontal="right" wrapText="1"/>
    </xf>
    <xf numFmtId="37" fontId="80" fillId="11" borderId="0" xfId="11" applyNumberFormat="1" applyFont="1" applyFill="1" applyBorder="1" applyAlignment="1" applyProtection="1">
      <alignment horizontal="left"/>
    </xf>
    <xf numFmtId="37" fontId="80" fillId="11" borderId="3" xfId="11" applyNumberFormat="1" applyFont="1" applyFill="1" applyBorder="1" applyAlignment="1" applyProtection="1">
      <alignment horizontal="right"/>
    </xf>
    <xf numFmtId="5" fontId="80" fillId="11" borderId="3" xfId="11" applyNumberFormat="1" applyFont="1" applyFill="1" applyBorder="1" applyAlignment="1" applyProtection="1">
      <alignment horizontal="right"/>
    </xf>
    <xf numFmtId="37" fontId="86" fillId="11" borderId="3" xfId="11" applyNumberFormat="1" applyFont="1" applyFill="1" applyBorder="1" applyAlignment="1" applyProtection="1">
      <alignment horizontal="right"/>
    </xf>
    <xf numFmtId="0" fontId="81" fillId="11" borderId="0" xfId="11" applyFont="1" applyFill="1" applyBorder="1" applyProtection="1"/>
    <xf numFmtId="0" fontId="86" fillId="9" borderId="40" xfId="0" applyFont="1" applyFill="1" applyBorder="1" applyAlignment="1" applyProtection="1">
      <alignment horizontal="right"/>
    </xf>
    <xf numFmtId="37" fontId="80" fillId="14" borderId="36" xfId="11" applyNumberFormat="1" applyFont="1" applyFill="1" applyBorder="1" applyProtection="1"/>
    <xf numFmtId="0" fontId="86" fillId="9" borderId="41" xfId="0" applyFont="1" applyFill="1" applyBorder="1" applyAlignment="1" applyProtection="1">
      <alignment horizontal="right"/>
    </xf>
    <xf numFmtId="37" fontId="80" fillId="0" borderId="1" xfId="11" applyNumberFormat="1" applyFont="1" applyFill="1" applyBorder="1" applyProtection="1"/>
    <xf numFmtId="37" fontId="80" fillId="14" borderId="1" xfId="11" applyNumberFormat="1" applyFont="1" applyFill="1" applyBorder="1" applyProtection="1"/>
    <xf numFmtId="0" fontId="86" fillId="9" borderId="42" xfId="0" applyFont="1" applyFill="1" applyBorder="1" applyAlignment="1" applyProtection="1">
      <alignment horizontal="right"/>
    </xf>
    <xf numFmtId="0" fontId="86" fillId="9" borderId="27" xfId="0" applyFont="1" applyFill="1" applyBorder="1" applyAlignment="1" applyProtection="1">
      <alignment horizontal="right"/>
    </xf>
    <xf numFmtId="37" fontId="80" fillId="0" borderId="36" xfId="11" applyNumberFormat="1" applyFont="1" applyFill="1" applyBorder="1" applyProtection="1"/>
    <xf numFmtId="37" fontId="80" fillId="14" borderId="48" xfId="11" applyNumberFormat="1" applyFont="1" applyFill="1" applyBorder="1" applyProtection="1"/>
    <xf numFmtId="0" fontId="86" fillId="9" borderId="51" xfId="0" applyFont="1" applyFill="1" applyBorder="1" applyAlignment="1" applyProtection="1">
      <alignment horizontal="right"/>
    </xf>
    <xf numFmtId="37" fontId="80" fillId="14" borderId="18" xfId="11" applyNumberFormat="1" applyFont="1" applyFill="1" applyBorder="1" applyProtection="1"/>
    <xf numFmtId="0" fontId="86" fillId="9" borderId="32" xfId="0" applyFont="1" applyFill="1" applyBorder="1" applyAlignment="1" applyProtection="1">
      <alignment horizontal="right"/>
    </xf>
    <xf numFmtId="37" fontId="80" fillId="0" borderId="38" xfId="11" applyNumberFormat="1" applyFont="1" applyFill="1" applyBorder="1" applyProtection="1"/>
    <xf numFmtId="37" fontId="80" fillId="14" borderId="49" xfId="11" applyNumberFormat="1" applyFont="1" applyFill="1" applyBorder="1" applyProtection="1"/>
    <xf numFmtId="37" fontId="80" fillId="0" borderId="47" xfId="11" applyNumberFormat="1" applyFont="1" applyFill="1" applyBorder="1" applyProtection="1"/>
    <xf numFmtId="37" fontId="80" fillId="14" borderId="50" xfId="11" applyNumberFormat="1" applyFont="1" applyFill="1" applyBorder="1" applyProtection="1"/>
    <xf numFmtId="0" fontId="83" fillId="11" borderId="0" xfId="11" applyFont="1" applyFill="1" applyBorder="1" applyAlignment="1" applyProtection="1">
      <alignment horizontal="left"/>
    </xf>
    <xf numFmtId="0" fontId="80" fillId="11" borderId="0" xfId="0" applyFont="1" applyFill="1" applyBorder="1" applyProtection="1">
      <protection locked="0"/>
    </xf>
    <xf numFmtId="37" fontId="80" fillId="15" borderId="43" xfId="11" applyNumberFormat="1" applyFont="1" applyFill="1" applyBorder="1" applyProtection="1">
      <protection locked="0"/>
    </xf>
    <xf numFmtId="37" fontId="80" fillId="15" borderId="44" xfId="11" applyNumberFormat="1" applyFont="1" applyFill="1" applyBorder="1" applyProtection="1">
      <protection locked="0"/>
    </xf>
    <xf numFmtId="37" fontId="80" fillId="15" borderId="45" xfId="11" applyNumberFormat="1" applyFont="1" applyFill="1" applyBorder="1" applyProtection="1">
      <protection locked="0"/>
    </xf>
    <xf numFmtId="0" fontId="0" fillId="11" borderId="0" xfId="0" applyFill="1" applyBorder="1" applyProtection="1">
      <protection locked="0"/>
    </xf>
    <xf numFmtId="0" fontId="63" fillId="10" borderId="65" xfId="7" applyFont="1" applyFill="1" applyBorder="1" applyAlignment="1" applyProtection="1">
      <protection locked="0"/>
    </xf>
    <xf numFmtId="0" fontId="95" fillId="10" borderId="65" xfId="8" applyFont="1" applyFill="1" applyBorder="1" applyProtection="1">
      <protection locked="0"/>
    </xf>
    <xf numFmtId="0" fontId="95" fillId="10" borderId="66" xfId="8" applyFont="1" applyFill="1" applyBorder="1" applyProtection="1">
      <protection locked="0"/>
    </xf>
    <xf numFmtId="10" fontId="45" fillId="10" borderId="9" xfId="12" applyNumberFormat="1" applyFont="1" applyFill="1" applyBorder="1" applyProtection="1"/>
    <xf numFmtId="1" fontId="81" fillId="8" borderId="1" xfId="8" applyNumberFormat="1" applyFont="1" applyFill="1" applyBorder="1" applyProtection="1">
      <protection locked="0"/>
    </xf>
    <xf numFmtId="0" fontId="81" fillId="10" borderId="0" xfId="8" applyFont="1" applyFill="1" applyBorder="1" applyAlignment="1" applyProtection="1">
      <alignment horizontal="center" vertical="center" wrapText="1"/>
      <protection locked="0"/>
    </xf>
    <xf numFmtId="0" fontId="1" fillId="10" borderId="0" xfId="11" applyFont="1" applyFill="1" applyBorder="1" applyAlignment="1" applyProtection="1">
      <alignment vertical="top" wrapText="1"/>
      <protection locked="0"/>
    </xf>
    <xf numFmtId="0" fontId="0" fillId="10" borderId="0" xfId="0" applyFill="1" applyBorder="1" applyAlignment="1" applyProtection="1">
      <alignment horizontal="left"/>
    </xf>
    <xf numFmtId="0" fontId="61" fillId="0" borderId="0" xfId="11" applyFont="1" applyFill="1" applyBorder="1" applyAlignment="1" applyProtection="1">
      <alignment vertical="top" wrapText="1"/>
      <protection locked="0"/>
    </xf>
    <xf numFmtId="0" fontId="81" fillId="10" borderId="0" xfId="8" applyFont="1" applyFill="1" applyBorder="1" applyAlignment="1" applyProtection="1">
      <alignment horizontal="left" vertical="top"/>
    </xf>
    <xf numFmtId="0" fontId="81" fillId="10" borderId="0" xfId="8" applyFont="1" applyFill="1" applyBorder="1" applyAlignment="1" applyProtection="1">
      <alignment horizontal="left" vertical="top"/>
      <protection locked="0"/>
    </xf>
    <xf numFmtId="0" fontId="1" fillId="10" borderId="1" xfId="11" applyFont="1" applyFill="1" applyBorder="1" applyAlignment="1" applyProtection="1">
      <alignment horizontal="center" wrapText="1"/>
      <protection locked="0"/>
    </xf>
    <xf numFmtId="0" fontId="1" fillId="10" borderId="0" xfId="11" applyFont="1" applyFill="1" applyBorder="1" applyAlignment="1" applyProtection="1">
      <alignment vertical="center"/>
      <protection locked="0"/>
    </xf>
    <xf numFmtId="0" fontId="3" fillId="18" borderId="1" xfId="11" applyFont="1" applyFill="1" applyBorder="1" applyAlignment="1" applyProtection="1">
      <alignment horizontal="center" wrapText="1"/>
      <protection locked="0"/>
    </xf>
    <xf numFmtId="0" fontId="64" fillId="10" borderId="0" xfId="11" applyFont="1" applyFill="1" applyBorder="1" applyProtection="1">
      <protection locked="0"/>
    </xf>
    <xf numFmtId="0" fontId="3" fillId="13" borderId="17" xfId="11" applyFont="1" applyFill="1" applyBorder="1" applyAlignment="1" applyProtection="1">
      <protection locked="0"/>
    </xf>
    <xf numFmtId="0" fontId="3" fillId="13" borderId="19" xfId="11" applyFont="1" applyFill="1" applyBorder="1" applyAlignment="1" applyProtection="1">
      <protection locked="0"/>
    </xf>
    <xf numFmtId="0" fontId="3" fillId="13" borderId="17" xfId="11" applyFont="1" applyFill="1" applyBorder="1" applyAlignment="1" applyProtection="1">
      <alignment wrapText="1"/>
      <protection locked="0"/>
    </xf>
    <xf numFmtId="0" fontId="3" fillId="13" borderId="19" xfId="11" applyFont="1" applyFill="1" applyBorder="1" applyAlignment="1" applyProtection="1">
      <alignment wrapText="1"/>
      <protection locked="0"/>
    </xf>
    <xf numFmtId="0" fontId="3" fillId="8" borderId="1" xfId="11" applyFont="1" applyFill="1" applyBorder="1" applyAlignment="1" applyProtection="1">
      <alignment horizontal="center" vertical="center"/>
      <protection locked="0"/>
    </xf>
    <xf numFmtId="0" fontId="3" fillId="8" borderId="1" xfId="11" applyFont="1" applyFill="1" applyBorder="1" applyAlignment="1" applyProtection="1">
      <alignment horizontal="center" vertical="center" wrapText="1"/>
      <protection locked="0"/>
    </xf>
    <xf numFmtId="0" fontId="77" fillId="0" borderId="0" xfId="0" applyFont="1"/>
    <xf numFmtId="37" fontId="1" fillId="0" borderId="1" xfId="11" applyNumberFormat="1" applyFont="1" applyBorder="1" applyAlignment="1" applyProtection="1">
      <alignment horizontal="center" wrapText="1"/>
      <protection locked="0"/>
    </xf>
    <xf numFmtId="0" fontId="56" fillId="10" borderId="0" xfId="11" applyFont="1" applyFill="1" applyAlignment="1" applyProtection="1">
      <alignment vertical="top" wrapText="1"/>
      <protection locked="0"/>
    </xf>
    <xf numFmtId="0" fontId="80" fillId="10" borderId="0" xfId="8" applyFont="1" applyFill="1" applyBorder="1" applyProtection="1">
      <protection locked="0"/>
    </xf>
    <xf numFmtId="0" fontId="96" fillId="10" borderId="0" xfId="7" applyFont="1" applyFill="1" applyBorder="1" applyAlignment="1" applyProtection="1">
      <protection locked="0"/>
    </xf>
    <xf numFmtId="0" fontId="97" fillId="10" borderId="0" xfId="8" applyFont="1" applyFill="1" applyBorder="1" applyProtection="1">
      <protection locked="0"/>
    </xf>
    <xf numFmtId="0" fontId="86" fillId="10" borderId="0" xfId="8" applyFont="1" applyFill="1" applyBorder="1" applyProtection="1">
      <protection locked="0"/>
    </xf>
    <xf numFmtId="49" fontId="18" fillId="0" borderId="0" xfId="8" applyNumberFormat="1" applyFont="1" applyFill="1" applyBorder="1" applyAlignment="1" applyProtection="1">
      <alignment horizontal="left" vertical="top"/>
      <protection locked="0"/>
    </xf>
    <xf numFmtId="49" fontId="19" fillId="0" borderId="0" xfId="8" applyNumberFormat="1" applyFont="1" applyFill="1" applyBorder="1" applyAlignment="1" applyProtection="1">
      <alignment horizontal="center" vertical="top"/>
      <protection locked="0"/>
    </xf>
    <xf numFmtId="0" fontId="1" fillId="0" borderId="0" xfId="8" applyFont="1" applyFill="1" applyBorder="1" applyProtection="1">
      <protection locked="0"/>
    </xf>
    <xf numFmtId="0" fontId="1" fillId="0" borderId="0" xfId="8" applyFont="1" applyFill="1" applyBorder="1" applyAlignment="1" applyProtection="1">
      <alignment horizontal="left" vertical="top"/>
      <protection locked="0"/>
    </xf>
    <xf numFmtId="0" fontId="16" fillId="10" borderId="0" xfId="8" applyFont="1" applyFill="1" applyBorder="1" applyAlignment="1" applyProtection="1">
      <alignment horizontal="center" vertical="center" wrapText="1"/>
      <protection locked="0"/>
    </xf>
    <xf numFmtId="0" fontId="16" fillId="10" borderId="68" xfId="8" applyFont="1" applyFill="1" applyBorder="1" applyAlignment="1" applyProtection="1">
      <alignment horizontal="center" vertical="center" wrapText="1"/>
      <protection locked="0"/>
    </xf>
    <xf numFmtId="0" fontId="15" fillId="10" borderId="0" xfId="8" applyFont="1" applyFill="1" applyBorder="1" applyAlignment="1" applyProtection="1">
      <alignment horizontal="left" vertical="top" wrapText="1"/>
      <protection locked="0"/>
    </xf>
    <xf numFmtId="0" fontId="2" fillId="10" borderId="67" xfId="8" applyFont="1" applyFill="1" applyBorder="1" applyAlignment="1" applyProtection="1">
      <protection locked="0"/>
    </xf>
    <xf numFmtId="0" fontId="2" fillId="10" borderId="0" xfId="8" applyFont="1" applyFill="1" applyBorder="1" applyAlignment="1" applyProtection="1">
      <protection locked="0"/>
    </xf>
    <xf numFmtId="0" fontId="2" fillId="10" borderId="0" xfId="8" applyFont="1" applyFill="1" applyBorder="1" applyAlignment="1" applyProtection="1">
      <alignment wrapText="1"/>
      <protection locked="0"/>
    </xf>
    <xf numFmtId="0" fontId="9" fillId="10" borderId="0" xfId="11" applyFont="1" applyFill="1" applyBorder="1" applyAlignment="1" applyProtection="1">
      <alignment horizontal="centerContinuous"/>
      <protection locked="0"/>
    </xf>
    <xf numFmtId="0" fontId="1" fillId="8" borderId="0" xfId="11" applyFont="1" applyFill="1" applyBorder="1" applyProtection="1">
      <protection locked="0"/>
    </xf>
    <xf numFmtId="37" fontId="1" fillId="8" borderId="0" xfId="11" applyNumberFormat="1" applyFont="1" applyFill="1" applyBorder="1" applyProtection="1"/>
    <xf numFmtId="0" fontId="15" fillId="10" borderId="0" xfId="8" applyFont="1" applyFill="1" applyBorder="1" applyAlignment="1" applyProtection="1">
      <alignment vertical="top" wrapText="1"/>
      <protection locked="0"/>
    </xf>
    <xf numFmtId="0" fontId="98" fillId="10" borderId="0" xfId="0" applyFont="1" applyFill="1"/>
    <xf numFmtId="0" fontId="79" fillId="10" borderId="0" xfId="0" applyFont="1" applyFill="1"/>
    <xf numFmtId="0" fontId="99" fillId="10" borderId="0" xfId="0" applyFont="1" applyFill="1"/>
    <xf numFmtId="0" fontId="16" fillId="10" borderId="83" xfId="8" applyFont="1" applyFill="1" applyBorder="1" applyAlignment="1" applyProtection="1">
      <alignment horizontal="center" vertical="center" wrapText="1"/>
      <protection locked="0"/>
    </xf>
    <xf numFmtId="0" fontId="2" fillId="10" borderId="83" xfId="8" applyFont="1" applyFill="1" applyBorder="1" applyAlignment="1" applyProtection="1">
      <protection locked="0"/>
    </xf>
    <xf numFmtId="0" fontId="2" fillId="10" borderId="83" xfId="8" applyFont="1" applyFill="1" applyBorder="1" applyProtection="1">
      <protection locked="0"/>
    </xf>
    <xf numFmtId="0" fontId="100" fillId="10" borderId="0" xfId="0" applyFont="1" applyFill="1" applyAlignment="1">
      <alignment horizontal="right"/>
    </xf>
    <xf numFmtId="0" fontId="2" fillId="10" borderId="0" xfId="8" applyFont="1" applyFill="1" applyBorder="1" applyAlignment="1" applyProtection="1">
      <alignment vertical="top" wrapText="1"/>
      <protection locked="0"/>
    </xf>
    <xf numFmtId="0" fontId="1" fillId="7" borderId="0" xfId="8" applyFill="1" applyBorder="1" applyProtection="1">
      <protection locked="0"/>
    </xf>
    <xf numFmtId="0" fontId="1" fillId="10" borderId="84" xfId="8" applyFill="1" applyBorder="1" applyProtection="1">
      <protection locked="0"/>
    </xf>
    <xf numFmtId="0" fontId="101" fillId="10" borderId="0" xfId="0" applyFont="1" applyFill="1"/>
    <xf numFmtId="0" fontId="2" fillId="10" borderId="0" xfId="8" applyFont="1" applyFill="1" applyBorder="1" applyAlignment="1" applyProtection="1">
      <alignment wrapText="1"/>
      <protection locked="0"/>
    </xf>
    <xf numFmtId="0" fontId="81" fillId="10" borderId="0" xfId="8" applyFont="1" applyFill="1" applyBorder="1" applyAlignment="1" applyProtection="1">
      <alignment horizontal="left" vertical="top" wrapText="1"/>
      <protection locked="0"/>
    </xf>
    <xf numFmtId="0" fontId="81" fillId="10" borderId="68" xfId="8" applyFont="1" applyFill="1" applyBorder="1" applyAlignment="1" applyProtection="1">
      <alignment vertical="top"/>
      <protection locked="0"/>
    </xf>
    <xf numFmtId="0" fontId="81" fillId="8" borderId="9" xfId="8" applyFont="1" applyFill="1" applyBorder="1" applyAlignment="1" applyProtection="1">
      <protection locked="0"/>
    </xf>
    <xf numFmtId="0" fontId="15" fillId="10" borderId="0" xfId="8" applyFont="1" applyFill="1" applyBorder="1" applyAlignment="1" applyProtection="1">
      <alignment vertical="top" wrapText="1"/>
      <protection locked="0"/>
    </xf>
    <xf numFmtId="0" fontId="2" fillId="10" borderId="0" xfId="8" applyFont="1" applyFill="1" applyBorder="1" applyAlignment="1" applyProtection="1">
      <alignment vertical="top" wrapText="1"/>
      <protection locked="0"/>
    </xf>
    <xf numFmtId="0" fontId="16" fillId="10" borderId="0" xfId="8" applyFont="1" applyFill="1" applyBorder="1" applyAlignment="1" applyProtection="1">
      <alignment vertical="center" wrapText="1"/>
      <protection locked="0"/>
    </xf>
    <xf numFmtId="0" fontId="2" fillId="10" borderId="0" xfId="8" applyFont="1" applyFill="1" applyBorder="1" applyAlignment="1" applyProtection="1">
      <alignment vertical="center" wrapText="1"/>
      <protection locked="0"/>
    </xf>
    <xf numFmtId="0" fontId="16" fillId="10" borderId="0" xfId="8" applyFont="1" applyFill="1" applyBorder="1" applyAlignment="1" applyProtection="1">
      <alignment vertical="top" wrapText="1"/>
      <protection locked="0"/>
    </xf>
    <xf numFmtId="0" fontId="2" fillId="10" borderId="0" xfId="8" applyFont="1" applyFill="1" applyBorder="1" applyAlignment="1" applyProtection="1">
      <alignment wrapText="1"/>
      <protection locked="0"/>
    </xf>
    <xf numFmtId="0" fontId="2" fillId="10" borderId="0" xfId="8" applyFont="1" applyFill="1" applyBorder="1" applyAlignment="1" applyProtection="1">
      <alignment wrapText="1"/>
      <protection locked="0"/>
    </xf>
    <xf numFmtId="0" fontId="3" fillId="10" borderId="0" xfId="8" applyFont="1" applyFill="1" applyBorder="1" applyAlignment="1" applyProtection="1">
      <alignment horizontal="center" wrapText="1"/>
    </xf>
    <xf numFmtId="0" fontId="3" fillId="10" borderId="65" xfId="8" applyFont="1" applyFill="1" applyBorder="1" applyAlignment="1" applyProtection="1">
      <alignment horizontal="center" wrapText="1"/>
    </xf>
    <xf numFmtId="0" fontId="2" fillId="10" borderId="0" xfId="8" applyFont="1" applyFill="1" applyBorder="1" applyAlignment="1" applyProtection="1">
      <alignment horizontal="left"/>
      <protection locked="0"/>
    </xf>
    <xf numFmtId="0" fontId="3" fillId="10" borderId="0" xfId="8" applyFont="1" applyFill="1" applyBorder="1" applyAlignment="1" applyProtection="1">
      <protection locked="0"/>
    </xf>
    <xf numFmtId="37" fontId="3" fillId="10" borderId="65" xfId="11" applyNumberFormat="1" applyFont="1" applyFill="1" applyBorder="1" applyAlignment="1" applyProtection="1">
      <alignment horizontal="centerContinuous"/>
    </xf>
    <xf numFmtId="0" fontId="3" fillId="10" borderId="65" xfId="11" applyFont="1" applyFill="1" applyBorder="1" applyAlignment="1" applyProtection="1">
      <alignment horizontal="centerContinuous"/>
    </xf>
    <xf numFmtId="0" fontId="9" fillId="10" borderId="65" xfId="11" applyFont="1" applyFill="1" applyBorder="1" applyAlignment="1" applyProtection="1">
      <alignment horizontal="centerContinuous"/>
      <protection locked="0"/>
    </xf>
    <xf numFmtId="0" fontId="15" fillId="10" borderId="0" xfId="8" applyFont="1" applyFill="1" applyBorder="1" applyAlignment="1" applyProtection="1">
      <alignment horizontal="right" vertical="top" wrapText="1"/>
      <protection locked="0"/>
    </xf>
    <xf numFmtId="0" fontId="1" fillId="10" borderId="83" xfId="8" applyFont="1" applyFill="1" applyBorder="1" applyAlignment="1" applyProtection="1">
      <alignment horizontal="right"/>
      <protection locked="0"/>
    </xf>
    <xf numFmtId="0" fontId="15" fillId="10" borderId="0" xfId="8" applyFont="1" applyFill="1" applyBorder="1" applyAlignment="1" applyProtection="1">
      <alignment horizontal="right" wrapText="1"/>
      <protection locked="0"/>
    </xf>
    <xf numFmtId="0" fontId="16" fillId="10" borderId="0" xfId="8" applyFont="1" applyFill="1" applyBorder="1" applyAlignment="1" applyProtection="1">
      <alignment horizontal="right" wrapText="1"/>
      <protection locked="0"/>
    </xf>
    <xf numFmtId="0" fontId="2" fillId="10" borderId="67" xfId="8" applyFont="1" applyFill="1" applyBorder="1" applyAlignment="1" applyProtection="1">
      <alignment horizontal="left"/>
      <protection locked="0"/>
    </xf>
    <xf numFmtId="0" fontId="79" fillId="10" borderId="0" xfId="0" applyFont="1" applyFill="1" applyAlignment="1">
      <alignment horizontal="left"/>
    </xf>
    <xf numFmtId="0" fontId="98" fillId="10" borderId="0" xfId="0" applyFont="1" applyFill="1" applyAlignment="1">
      <alignment horizontal="left"/>
    </xf>
    <xf numFmtId="0" fontId="3" fillId="10" borderId="83" xfId="8" applyFont="1" applyFill="1" applyBorder="1" applyAlignment="1" applyProtection="1">
      <protection locked="0"/>
    </xf>
    <xf numFmtId="0" fontId="1" fillId="7" borderId="0" xfId="11" applyFont="1" applyFill="1" applyAlignment="1" applyProtection="1">
      <alignment horizontal="center"/>
    </xf>
    <xf numFmtId="0" fontId="3" fillId="10" borderId="65" xfId="11" applyFont="1" applyFill="1" applyBorder="1" applyAlignment="1" applyProtection="1">
      <alignment horizontal="center" wrapText="1"/>
    </xf>
    <xf numFmtId="0" fontId="3" fillId="10" borderId="65" xfId="8" applyFont="1" applyFill="1" applyBorder="1" applyAlignment="1" applyProtection="1">
      <alignment horizontal="center" wrapText="1"/>
    </xf>
    <xf numFmtId="0" fontId="3" fillId="10" borderId="0" xfId="8" applyFont="1" applyFill="1" applyBorder="1" applyAlignment="1" applyProtection="1">
      <alignment horizontal="center" wrapText="1"/>
    </xf>
    <xf numFmtId="0" fontId="3" fillId="10" borderId="0" xfId="11" applyFont="1" applyFill="1" applyBorder="1" applyAlignment="1" applyProtection="1">
      <alignment horizontal="center"/>
    </xf>
    <xf numFmtId="0" fontId="1" fillId="7" borderId="0" xfId="8" applyFont="1" applyFill="1" applyAlignment="1" applyProtection="1"/>
    <xf numFmtId="0" fontId="1" fillId="10" borderId="0" xfId="11" applyFont="1" applyFill="1" applyBorder="1" applyAlignment="1" applyProtection="1">
      <alignment horizontal="center"/>
    </xf>
    <xf numFmtId="0" fontId="3" fillId="10" borderId="0" xfId="8" applyFont="1" applyFill="1" applyBorder="1" applyAlignment="1" applyProtection="1">
      <alignment horizontal="center"/>
    </xf>
    <xf numFmtId="0" fontId="2" fillId="10" borderId="0" xfId="8" applyFont="1" applyFill="1" applyBorder="1" applyAlignment="1" applyProtection="1">
      <alignment horizontal="center"/>
      <protection locked="0"/>
    </xf>
    <xf numFmtId="0" fontId="86" fillId="10" borderId="0" xfId="0" applyFont="1" applyFill="1" applyBorder="1" applyAlignment="1">
      <alignment horizontal="center" wrapText="1"/>
    </xf>
    <xf numFmtId="164" fontId="81" fillId="11" borderId="0" xfId="11" applyNumberFormat="1" applyFont="1" applyFill="1" applyBorder="1" applyAlignment="1" applyProtection="1">
      <alignment horizontal="center"/>
    </xf>
    <xf numFmtId="0" fontId="3" fillId="10" borderId="0" xfId="8" applyFont="1" applyFill="1" applyBorder="1" applyAlignment="1" applyProtection="1">
      <protection locked="0"/>
    </xf>
    <xf numFmtId="0" fontId="1" fillId="10" borderId="0" xfId="8" applyFont="1" applyFill="1" applyBorder="1" applyAlignment="1" applyProtection="1">
      <protection locked="0"/>
    </xf>
    <xf numFmtId="0" fontId="3" fillId="10" borderId="0" xfId="11" applyFont="1" applyFill="1" applyBorder="1" applyAlignment="1" applyProtection="1">
      <alignment horizontal="center" wrapText="1"/>
    </xf>
    <xf numFmtId="0" fontId="2" fillId="8" borderId="0" xfId="11" applyFont="1" applyFill="1" applyProtection="1">
      <protection locked="0"/>
    </xf>
    <xf numFmtId="0" fontId="2" fillId="7" borderId="0" xfId="8" applyFont="1" applyFill="1" applyBorder="1"/>
    <xf numFmtId="0" fontId="6" fillId="7" borderId="0" xfId="8" applyFont="1" applyFill="1" applyBorder="1"/>
    <xf numFmtId="0" fontId="2" fillId="10" borderId="11" xfId="8" applyFont="1" applyFill="1" applyBorder="1"/>
    <xf numFmtId="0" fontId="6" fillId="10" borderId="20" xfId="8" applyFont="1" applyFill="1" applyBorder="1"/>
    <xf numFmtId="0" fontId="2" fillId="10" borderId="12" xfId="8" applyFont="1" applyFill="1" applyBorder="1"/>
    <xf numFmtId="0" fontId="6" fillId="10" borderId="10" xfId="8" applyFont="1" applyFill="1" applyBorder="1"/>
    <xf numFmtId="0" fontId="2" fillId="10" borderId="13" xfId="8" applyFont="1" applyFill="1" applyBorder="1"/>
    <xf numFmtId="0" fontId="2" fillId="10" borderId="3" xfId="8" applyFont="1" applyFill="1" applyBorder="1"/>
    <xf numFmtId="0" fontId="6" fillId="10" borderId="21" xfId="8" applyFont="1" applyFill="1" applyBorder="1"/>
    <xf numFmtId="0" fontId="0" fillId="8" borderId="0" xfId="0" applyFill="1"/>
    <xf numFmtId="0" fontId="3" fillId="8" borderId="0" xfId="8" applyNumberFormat="1" applyFont="1" applyFill="1" applyAlignment="1" applyProtection="1">
      <protection hidden="1"/>
    </xf>
    <xf numFmtId="0" fontId="2" fillId="8" borderId="0" xfId="8" applyFont="1" applyFill="1" applyAlignment="1" applyProtection="1">
      <protection locked="0"/>
    </xf>
    <xf numFmtId="0" fontId="0" fillId="10" borderId="20" xfId="0" applyFill="1" applyBorder="1"/>
    <xf numFmtId="0" fontId="0" fillId="10" borderId="10" xfId="0" applyFill="1" applyBorder="1"/>
    <xf numFmtId="0" fontId="6" fillId="10" borderId="3" xfId="8" applyFont="1" applyFill="1" applyBorder="1"/>
    <xf numFmtId="0" fontId="0" fillId="10" borderId="3" xfId="0" applyFill="1" applyBorder="1"/>
    <xf numFmtId="0" fontId="0" fillId="10" borderId="21" xfId="0" applyFill="1" applyBorder="1"/>
    <xf numFmtId="0" fontId="80" fillId="10" borderId="11" xfId="0" applyFont="1" applyFill="1" applyBorder="1"/>
    <xf numFmtId="0" fontId="80" fillId="10" borderId="4" xfId="0" applyFont="1" applyFill="1" applyBorder="1"/>
    <xf numFmtId="0" fontId="80" fillId="10" borderId="20" xfId="0" applyFont="1" applyFill="1" applyBorder="1"/>
    <xf numFmtId="0" fontId="81" fillId="10" borderId="12" xfId="11" applyFont="1" applyFill="1" applyBorder="1" applyProtection="1">
      <protection locked="0"/>
    </xf>
    <xf numFmtId="0" fontId="80" fillId="10" borderId="10" xfId="0" applyFont="1" applyFill="1" applyBorder="1"/>
    <xf numFmtId="0" fontId="80" fillId="10" borderId="12" xfId="0" applyFont="1" applyFill="1" applyBorder="1"/>
    <xf numFmtId="0" fontId="0" fillId="10" borderId="12" xfId="0" applyFill="1" applyBorder="1"/>
    <xf numFmtId="0" fontId="0" fillId="10" borderId="13" xfId="0" applyFill="1" applyBorder="1"/>
    <xf numFmtId="0" fontId="3" fillId="10" borderId="4" xfId="8" applyFont="1" applyFill="1" applyBorder="1"/>
    <xf numFmtId="0" fontId="2" fillId="10" borderId="4" xfId="8" applyFont="1" applyFill="1" applyBorder="1" applyProtection="1">
      <protection locked="0"/>
    </xf>
    <xf numFmtId="0" fontId="2" fillId="10" borderId="4" xfId="8" applyFont="1" applyFill="1" applyBorder="1"/>
    <xf numFmtId="0" fontId="3" fillId="10" borderId="12" xfId="8" applyFont="1" applyFill="1" applyBorder="1"/>
    <xf numFmtId="0" fontId="2" fillId="10" borderId="11" xfId="8" applyFont="1" applyFill="1" applyBorder="1" applyProtection="1"/>
    <xf numFmtId="0" fontId="3" fillId="10" borderId="4" xfId="8" applyFont="1" applyFill="1" applyBorder="1" applyProtection="1"/>
    <xf numFmtId="0" fontId="2" fillId="10" borderId="4" xfId="8" applyFont="1" applyFill="1" applyBorder="1" applyProtection="1"/>
    <xf numFmtId="0" fontId="2" fillId="10" borderId="20" xfId="8" applyFont="1" applyFill="1" applyBorder="1" applyProtection="1"/>
    <xf numFmtId="0" fontId="2" fillId="10" borderId="12" xfId="8" applyFont="1" applyFill="1" applyBorder="1" applyProtection="1"/>
    <xf numFmtId="0" fontId="2" fillId="10" borderId="10" xfId="8" applyFont="1" applyFill="1" applyBorder="1" applyProtection="1"/>
    <xf numFmtId="0" fontId="2" fillId="10" borderId="13" xfId="8" applyFont="1" applyFill="1" applyBorder="1" applyProtection="1"/>
    <xf numFmtId="0" fontId="2" fillId="10" borderId="3" xfId="8" applyFont="1" applyFill="1" applyBorder="1" applyProtection="1">
      <protection locked="0"/>
    </xf>
    <xf numFmtId="0" fontId="2" fillId="10" borderId="21" xfId="8" applyFont="1" applyFill="1" applyBorder="1" applyProtection="1"/>
    <xf numFmtId="0" fontId="0" fillId="0" borderId="0" xfId="0" applyFill="1"/>
    <xf numFmtId="37" fontId="83" fillId="7" borderId="0" xfId="11" applyNumberFormat="1" applyFont="1" applyFill="1" applyAlignment="1" applyProtection="1">
      <alignment horizontal="center" vertical="center"/>
      <protection locked="0"/>
    </xf>
    <xf numFmtId="0" fontId="2" fillId="0" borderId="0" xfId="8" applyFont="1" applyFill="1" applyAlignment="1" applyProtection="1">
      <alignment horizontal="right"/>
      <protection locked="0"/>
    </xf>
    <xf numFmtId="0" fontId="1" fillId="0" borderId="0" xfId="11" applyFont="1" applyFill="1" applyAlignment="1" applyProtection="1">
      <alignment horizontal="center"/>
      <protection locked="0"/>
    </xf>
    <xf numFmtId="0" fontId="2" fillId="10" borderId="11" xfId="11" applyFont="1" applyFill="1" applyBorder="1" applyProtection="1">
      <protection locked="0"/>
    </xf>
    <xf numFmtId="0" fontId="2" fillId="10" borderId="4" xfId="11" applyFont="1" applyFill="1" applyBorder="1" applyProtection="1">
      <protection locked="0"/>
    </xf>
    <xf numFmtId="0" fontId="2" fillId="10" borderId="20" xfId="11" applyFont="1" applyFill="1" applyBorder="1" applyProtection="1">
      <protection locked="0"/>
    </xf>
    <xf numFmtId="0" fontId="2" fillId="10" borderId="10" xfId="11" applyFont="1" applyFill="1" applyBorder="1" applyProtection="1">
      <protection locked="0"/>
    </xf>
    <xf numFmtId="0" fontId="81" fillId="10" borderId="10" xfId="11" applyFont="1" applyFill="1" applyBorder="1" applyProtection="1">
      <protection locked="0"/>
    </xf>
    <xf numFmtId="0" fontId="84" fillId="10" borderId="10" xfId="11" applyFont="1" applyFill="1" applyBorder="1" applyAlignment="1" applyProtection="1">
      <alignment horizontal="centerContinuous"/>
      <protection locked="0"/>
    </xf>
    <xf numFmtId="5" fontId="81" fillId="10" borderId="10" xfId="11" applyNumberFormat="1" applyFont="1" applyFill="1" applyBorder="1" applyAlignment="1" applyProtection="1">
      <alignment horizontal="right"/>
      <protection locked="0" hidden="1"/>
    </xf>
    <xf numFmtId="5" fontId="84" fillId="10" borderId="10" xfId="11" applyNumberFormat="1" applyFont="1" applyFill="1" applyBorder="1" applyAlignment="1" applyProtection="1">
      <alignment horizontal="right"/>
      <protection locked="0" hidden="1"/>
    </xf>
    <xf numFmtId="0" fontId="81" fillId="10" borderId="10" xfId="11" applyFont="1" applyFill="1" applyBorder="1" applyProtection="1">
      <protection locked="0" hidden="1"/>
    </xf>
    <xf numFmtId="5" fontId="81" fillId="10" borderId="10" xfId="11" applyNumberFormat="1" applyFont="1" applyFill="1" applyBorder="1" applyProtection="1"/>
    <xf numFmtId="37" fontId="81" fillId="10" borderId="10" xfId="11" applyNumberFormat="1" applyFont="1" applyFill="1" applyBorder="1" applyAlignment="1" applyProtection="1">
      <alignment horizontal="fill"/>
      <protection locked="0"/>
    </xf>
    <xf numFmtId="5" fontId="81" fillId="10" borderId="10" xfId="11" applyNumberFormat="1" applyFont="1" applyFill="1" applyBorder="1" applyProtection="1">
      <protection locked="0" hidden="1"/>
    </xf>
    <xf numFmtId="5" fontId="81" fillId="10" borderId="10" xfId="11" applyNumberFormat="1" applyFont="1" applyFill="1" applyBorder="1" applyProtection="1">
      <protection locked="0"/>
    </xf>
    <xf numFmtId="5" fontId="81" fillId="10" borderId="10" xfId="11" applyNumberFormat="1" applyFont="1" applyFill="1" applyBorder="1" applyAlignment="1" applyProtection="1">
      <alignment horizontal="fill"/>
      <protection locked="0"/>
    </xf>
    <xf numFmtId="0" fontId="2" fillId="10" borderId="12" xfId="11" applyFont="1" applyFill="1" applyBorder="1" applyProtection="1">
      <protection locked="0"/>
    </xf>
    <xf numFmtId="37" fontId="81" fillId="10" borderId="10" xfId="11" applyNumberFormat="1" applyFont="1" applyFill="1" applyBorder="1" applyProtection="1">
      <protection locked="0"/>
    </xf>
    <xf numFmtId="10" fontId="81" fillId="10" borderId="10" xfId="11" applyNumberFormat="1" applyFont="1" applyFill="1" applyBorder="1" applyProtection="1"/>
    <xf numFmtId="0" fontId="2" fillId="10" borderId="13" xfId="11" applyFont="1" applyFill="1" applyBorder="1" applyProtection="1">
      <protection locked="0"/>
    </xf>
    <xf numFmtId="0" fontId="2" fillId="10" borderId="21" xfId="11" applyFont="1" applyFill="1" applyBorder="1" applyProtection="1">
      <protection locked="0"/>
    </xf>
    <xf numFmtId="0" fontId="80" fillId="7" borderId="0" xfId="8" applyFont="1" applyFill="1" applyProtection="1">
      <protection locked="0"/>
    </xf>
    <xf numFmtId="0" fontId="3" fillId="0" borderId="0" xfId="8" applyNumberFormat="1" applyFont="1" applyFill="1" applyAlignment="1" applyProtection="1">
      <protection hidden="1"/>
    </xf>
    <xf numFmtId="0" fontId="2" fillId="0" borderId="0" xfId="8" applyFont="1" applyFill="1" applyAlignment="1" applyProtection="1">
      <protection locked="0"/>
    </xf>
    <xf numFmtId="0" fontId="80" fillId="11" borderId="11" xfId="0" applyFont="1" applyFill="1" applyBorder="1" applyProtection="1"/>
    <xf numFmtId="0" fontId="80" fillId="11" borderId="4" xfId="0" applyFont="1" applyFill="1" applyBorder="1" applyProtection="1"/>
    <xf numFmtId="0" fontId="80" fillId="11" borderId="20" xfId="0" applyFont="1" applyFill="1" applyBorder="1" applyProtection="1"/>
    <xf numFmtId="0" fontId="81" fillId="11" borderId="12" xfId="11" applyFont="1" applyFill="1" applyBorder="1" applyProtection="1"/>
    <xf numFmtId="0" fontId="80" fillId="11" borderId="10" xfId="0" applyFont="1" applyFill="1" applyBorder="1" applyProtection="1"/>
    <xf numFmtId="0" fontId="80" fillId="11" borderId="12" xfId="0" applyFont="1" applyFill="1" applyBorder="1" applyProtection="1"/>
    <xf numFmtId="0" fontId="0" fillId="11" borderId="10" xfId="0" applyFill="1" applyBorder="1" applyProtection="1"/>
    <xf numFmtId="0" fontId="0" fillId="11" borderId="12" xfId="0" applyFill="1" applyBorder="1" applyProtection="1"/>
    <xf numFmtId="0" fontId="0" fillId="11" borderId="13" xfId="0" applyFill="1" applyBorder="1" applyProtection="1"/>
    <xf numFmtId="0" fontId="0" fillId="11" borderId="3" xfId="0" applyFill="1" applyBorder="1" applyProtection="1"/>
    <xf numFmtId="0" fontId="0" fillId="11" borderId="21" xfId="0" applyFill="1" applyBorder="1" applyProtection="1"/>
    <xf numFmtId="37" fontId="84" fillId="0" borderId="0" xfId="11" applyNumberFormat="1" applyFont="1" applyFill="1" applyBorder="1" applyAlignment="1" applyProtection="1">
      <alignment horizontal="center"/>
      <protection locked="0"/>
    </xf>
    <xf numFmtId="37" fontId="81" fillId="0" borderId="0" xfId="11" applyNumberFormat="1" applyFont="1" applyFill="1" applyBorder="1" applyAlignment="1" applyProtection="1">
      <alignment horizontal="center"/>
      <protection locked="0"/>
    </xf>
    <xf numFmtId="37" fontId="81" fillId="10" borderId="0" xfId="11" applyNumberFormat="1" applyFont="1" applyFill="1" applyBorder="1" applyAlignment="1" applyProtection="1">
      <alignment horizontal="center"/>
      <protection locked="0"/>
    </xf>
    <xf numFmtId="37" fontId="81" fillId="0" borderId="0" xfId="3" applyNumberFormat="1" applyFont="1" applyFill="1" applyBorder="1" applyAlignment="1" applyProtection="1">
      <protection locked="0"/>
    </xf>
    <xf numFmtId="2" fontId="81" fillId="0" borderId="0" xfId="11" applyNumberFormat="1" applyFont="1" applyFill="1" applyBorder="1" applyAlignment="1" applyProtection="1">
      <protection locked="0"/>
    </xf>
    <xf numFmtId="0" fontId="81" fillId="0" borderId="0" xfId="11" applyNumberFormat="1" applyFont="1" applyFill="1" applyBorder="1" applyAlignment="1" applyProtection="1">
      <protection locked="0"/>
    </xf>
    <xf numFmtId="0" fontId="81" fillId="0" borderId="0" xfId="11" applyNumberFormat="1" applyFont="1" applyFill="1" applyBorder="1" applyAlignment="1" applyProtection="1">
      <alignment horizontal="center"/>
      <protection locked="0"/>
    </xf>
    <xf numFmtId="2" fontId="81" fillId="10" borderId="0" xfId="8" applyNumberFormat="1" applyFont="1" applyFill="1" applyBorder="1" applyProtection="1">
      <protection locked="0"/>
    </xf>
    <xf numFmtId="0" fontId="81" fillId="0" borderId="0" xfId="8" applyFont="1" applyFill="1" applyBorder="1" applyProtection="1">
      <protection locked="0"/>
    </xf>
    <xf numFmtId="1" fontId="81" fillId="0" borderId="0" xfId="8" applyNumberFormat="1" applyFont="1" applyFill="1" applyBorder="1" applyProtection="1">
      <protection locked="0"/>
    </xf>
    <xf numFmtId="0" fontId="83" fillId="0" borderId="0" xfId="11" applyNumberFormat="1" applyFont="1" applyFill="1" applyBorder="1" applyAlignment="1" applyProtection="1">
      <alignment horizontal="center"/>
      <protection locked="0"/>
    </xf>
    <xf numFmtId="0" fontId="80" fillId="0" borderId="0" xfId="8" applyFont="1" applyFill="1" applyBorder="1" applyProtection="1">
      <protection locked="0"/>
    </xf>
    <xf numFmtId="37" fontId="80" fillId="7" borderId="0" xfId="11" applyNumberFormat="1" applyFont="1" applyFill="1" applyAlignment="1" applyProtection="1">
      <alignment horizontal="right"/>
      <protection locked="0"/>
    </xf>
    <xf numFmtId="0" fontId="8" fillId="11" borderId="12" xfId="8" applyFont="1" applyFill="1" applyBorder="1" applyAlignment="1" applyProtection="1">
      <alignment horizontal="center"/>
      <protection locked="0"/>
    </xf>
    <xf numFmtId="0" fontId="2" fillId="11" borderId="10" xfId="8" applyFont="1" applyFill="1" applyBorder="1" applyProtection="1">
      <protection locked="0"/>
    </xf>
    <xf numFmtId="0" fontId="1" fillId="11" borderId="12" xfId="8" applyFont="1" applyFill="1" applyBorder="1" applyAlignment="1" applyProtection="1">
      <alignment horizontal="center"/>
    </xf>
    <xf numFmtId="3" fontId="1" fillId="11" borderId="10" xfId="8" applyNumberFormat="1" applyFont="1" applyFill="1" applyBorder="1" applyAlignment="1" applyProtection="1">
      <alignment horizontal="right"/>
    </xf>
    <xf numFmtId="0" fontId="1" fillId="11" borderId="12" xfId="8" applyFont="1" applyFill="1" applyBorder="1" applyAlignment="1" applyProtection="1">
      <alignment horizontal="right"/>
      <protection locked="0"/>
    </xf>
    <xf numFmtId="3" fontId="1" fillId="11" borderId="10" xfId="8" applyNumberFormat="1" applyFont="1" applyFill="1" applyBorder="1" applyProtection="1">
      <protection locked="0"/>
    </xf>
    <xf numFmtId="0" fontId="1" fillId="11" borderId="12" xfId="8" applyFont="1" applyFill="1" applyBorder="1" applyAlignment="1" applyProtection="1">
      <alignment horizontal="left"/>
      <protection locked="0"/>
    </xf>
    <xf numFmtId="0" fontId="3" fillId="11" borderId="12" xfId="8" applyFont="1" applyFill="1" applyBorder="1" applyAlignment="1" applyProtection="1">
      <alignment horizontal="left"/>
      <protection locked="0"/>
    </xf>
    <xf numFmtId="0" fontId="3" fillId="11" borderId="12" xfId="8" applyFont="1" applyFill="1" applyBorder="1" applyAlignment="1" applyProtection="1">
      <alignment horizontal="right"/>
      <protection locked="0"/>
    </xf>
    <xf numFmtId="0" fontId="3" fillId="11" borderId="13" xfId="8" applyFont="1" applyFill="1" applyBorder="1" applyAlignment="1" applyProtection="1">
      <alignment horizontal="left"/>
      <protection locked="0"/>
    </xf>
    <xf numFmtId="0" fontId="3" fillId="11" borderId="10" xfId="8" applyFont="1" applyFill="1" applyBorder="1" applyAlignment="1" applyProtection="1">
      <alignment horizontal="right"/>
    </xf>
    <xf numFmtId="0" fontId="1" fillId="11" borderId="10" xfId="8" applyFont="1" applyFill="1" applyBorder="1" applyProtection="1">
      <protection locked="0"/>
    </xf>
    <xf numFmtId="0" fontId="3" fillId="11" borderId="13" xfId="8" applyFont="1" applyFill="1" applyBorder="1" applyAlignment="1" applyProtection="1">
      <alignment horizontal="left" wrapText="1"/>
      <protection locked="0"/>
    </xf>
    <xf numFmtId="0" fontId="1" fillId="11" borderId="12" xfId="8" applyFont="1" applyFill="1" applyBorder="1" applyProtection="1">
      <protection locked="0"/>
    </xf>
    <xf numFmtId="0" fontId="2" fillId="11" borderId="13" xfId="8" applyFont="1" applyFill="1" applyBorder="1" applyProtection="1">
      <protection locked="0"/>
    </xf>
    <xf numFmtId="0" fontId="2" fillId="11" borderId="3" xfId="8" applyFont="1" applyFill="1" applyBorder="1" applyProtection="1">
      <protection locked="0"/>
    </xf>
    <xf numFmtId="0" fontId="2" fillId="11" borderId="21" xfId="8" applyFont="1" applyFill="1" applyBorder="1" applyProtection="1">
      <protection locked="0"/>
    </xf>
    <xf numFmtId="0" fontId="15" fillId="0" borderId="0" xfId="8" applyFont="1" applyFill="1" applyProtection="1">
      <protection locked="0"/>
    </xf>
    <xf numFmtId="0" fontId="15" fillId="0" borderId="0" xfId="8" applyFont="1" applyFill="1" applyBorder="1" applyProtection="1">
      <protection locked="0"/>
    </xf>
    <xf numFmtId="0" fontId="15" fillId="0" borderId="0" xfId="8" applyFont="1" applyFill="1" applyAlignment="1" applyProtection="1">
      <alignment horizontal="left"/>
      <protection locked="0"/>
    </xf>
    <xf numFmtId="37" fontId="30" fillId="10" borderId="11" xfId="8" applyNumberFormat="1" applyFont="1" applyFill="1" applyBorder="1" applyAlignment="1" applyProtection="1">
      <alignment horizontal="left"/>
      <protection locked="0"/>
    </xf>
    <xf numFmtId="0" fontId="15" fillId="10" borderId="4" xfId="8" applyFont="1" applyFill="1" applyBorder="1" applyAlignment="1" applyProtection="1">
      <alignment horizontal="centerContinuous"/>
      <protection locked="0"/>
    </xf>
    <xf numFmtId="0" fontId="15" fillId="10" borderId="4" xfId="8" applyFont="1" applyFill="1" applyBorder="1" applyProtection="1">
      <protection locked="0"/>
    </xf>
    <xf numFmtId="0" fontId="15" fillId="10" borderId="20" xfId="8" applyFont="1" applyFill="1" applyBorder="1" applyProtection="1">
      <protection locked="0"/>
    </xf>
    <xf numFmtId="0" fontId="15" fillId="10" borderId="12" xfId="8" applyNumberFormat="1" applyFont="1" applyFill="1" applyBorder="1" applyAlignment="1" applyProtection="1">
      <alignment horizontal="left"/>
      <protection locked="0"/>
    </xf>
    <xf numFmtId="0" fontId="15" fillId="10" borderId="10" xfId="8" applyFont="1" applyFill="1" applyBorder="1" applyProtection="1">
      <protection locked="0"/>
    </xf>
    <xf numFmtId="0" fontId="15" fillId="10" borderId="12" xfId="8" applyFont="1" applyFill="1" applyBorder="1" applyAlignment="1" applyProtection="1">
      <alignment horizontal="left"/>
      <protection locked="0"/>
    </xf>
    <xf numFmtId="0" fontId="30" fillId="10" borderId="12" xfId="8" applyFont="1" applyFill="1" applyBorder="1" applyAlignment="1" applyProtection="1">
      <alignment horizontal="left"/>
      <protection locked="0"/>
    </xf>
    <xf numFmtId="0" fontId="15" fillId="10" borderId="12" xfId="8" applyFont="1" applyFill="1" applyBorder="1" applyProtection="1">
      <protection locked="0"/>
    </xf>
    <xf numFmtId="0" fontId="15" fillId="10" borderId="13" xfId="8" applyFont="1" applyFill="1" applyBorder="1" applyAlignment="1" applyProtection="1">
      <alignment horizontal="left"/>
      <protection locked="0"/>
    </xf>
    <xf numFmtId="0" fontId="15" fillId="10" borderId="3" xfId="8" applyFont="1" applyFill="1" applyBorder="1" applyProtection="1">
      <protection locked="0"/>
    </xf>
    <xf numFmtId="0" fontId="30" fillId="10" borderId="3" xfId="8" applyFont="1" applyFill="1" applyBorder="1" applyAlignment="1" applyProtection="1">
      <alignment horizontal="left"/>
      <protection locked="0"/>
    </xf>
    <xf numFmtId="5" fontId="30" fillId="10" borderId="3" xfId="8" applyNumberFormat="1" applyFont="1" applyFill="1" applyBorder="1" applyProtection="1">
      <protection locked="0"/>
    </xf>
    <xf numFmtId="0" fontId="15" fillId="10" borderId="21" xfId="8" applyFont="1" applyFill="1" applyBorder="1" applyProtection="1">
      <protection locked="0"/>
    </xf>
    <xf numFmtId="0" fontId="13" fillId="0" borderId="0" xfId="8" applyFont="1" applyFill="1" applyBorder="1" applyProtection="1">
      <protection locked="0"/>
    </xf>
    <xf numFmtId="5" fontId="13" fillId="0" borderId="0" xfId="8" applyNumberFormat="1" applyFont="1" applyFill="1" applyBorder="1" applyProtection="1">
      <protection locked="0"/>
    </xf>
    <xf numFmtId="0" fontId="13" fillId="0" borderId="0" xfId="8" applyFont="1" applyFill="1" applyBorder="1" applyAlignment="1" applyProtection="1">
      <alignment horizontal="fill"/>
      <protection locked="0"/>
    </xf>
    <xf numFmtId="0" fontId="3" fillId="10" borderId="67" xfId="8" applyFont="1" applyFill="1" applyBorder="1" applyAlignment="1" applyProtection="1">
      <alignment vertical="center"/>
      <protection locked="0"/>
    </xf>
    <xf numFmtId="0" fontId="3" fillId="10" borderId="68" xfId="8" applyFont="1" applyFill="1" applyBorder="1" applyAlignment="1" applyProtection="1">
      <alignment vertical="center"/>
      <protection locked="0"/>
    </xf>
    <xf numFmtId="0" fontId="2" fillId="0" borderId="0" xfId="11" applyFont="1" applyFill="1" applyAlignment="1" applyProtection="1">
      <alignment horizontal="centerContinuous"/>
      <protection locked="0"/>
    </xf>
    <xf numFmtId="0" fontId="3" fillId="0" borderId="0" xfId="11" applyFont="1" applyFill="1" applyProtection="1">
      <protection locked="0"/>
    </xf>
    <xf numFmtId="0" fontId="3" fillId="10" borderId="67" xfId="11" applyFont="1" applyFill="1" applyBorder="1" applyAlignment="1" applyProtection="1">
      <alignment horizontal="center" vertical="center"/>
      <protection locked="0"/>
    </xf>
    <xf numFmtId="0" fontId="3" fillId="10" borderId="68" xfId="11" applyFont="1" applyFill="1" applyBorder="1" applyAlignment="1" applyProtection="1">
      <alignment horizontal="center" vertical="center"/>
      <protection locked="0"/>
    </xf>
    <xf numFmtId="0" fontId="1" fillId="10" borderId="4" xfId="11" applyFont="1" applyFill="1" applyBorder="1" applyAlignment="1" applyProtection="1">
      <alignment horizontal="fill"/>
      <protection locked="0"/>
    </xf>
    <xf numFmtId="0" fontId="1" fillId="10" borderId="12" xfId="11" applyFont="1" applyFill="1" applyBorder="1" applyProtection="1">
      <protection locked="0"/>
    </xf>
    <xf numFmtId="0" fontId="1" fillId="10" borderId="12" xfId="11" applyFont="1" applyFill="1" applyBorder="1" applyAlignment="1" applyProtection="1">
      <protection locked="0"/>
    </xf>
    <xf numFmtId="0" fontId="21" fillId="10" borderId="12" xfId="11" applyFont="1" applyFill="1" applyBorder="1" applyAlignment="1" applyProtection="1">
      <alignment horizontal="center"/>
      <protection locked="0"/>
    </xf>
    <xf numFmtId="0" fontId="1" fillId="10" borderId="12" xfId="11" applyFont="1" applyFill="1" applyBorder="1" applyAlignment="1" applyProtection="1">
      <alignment horizontal="fill"/>
      <protection locked="0"/>
    </xf>
    <xf numFmtId="0" fontId="24" fillId="10" borderId="12" xfId="11" applyFont="1" applyFill="1" applyBorder="1" applyAlignment="1" applyProtection="1">
      <alignment horizontal="center"/>
      <protection locked="0"/>
    </xf>
    <xf numFmtId="0" fontId="3" fillId="10" borderId="10" xfId="11" applyFont="1" applyFill="1" applyBorder="1" applyAlignment="1" applyProtection="1">
      <alignment vertical="center"/>
      <protection locked="0"/>
    </xf>
    <xf numFmtId="0" fontId="3" fillId="10" borderId="0" xfId="11" applyFont="1" applyFill="1" applyBorder="1" applyAlignment="1" applyProtection="1">
      <alignment horizontal="center"/>
      <protection locked="0"/>
    </xf>
    <xf numFmtId="0" fontId="3" fillId="10" borderId="3" xfId="8" applyFont="1" applyFill="1" applyBorder="1" applyAlignment="1" applyProtection="1">
      <alignment horizontal="center"/>
      <protection locked="0"/>
    </xf>
    <xf numFmtId="0" fontId="13" fillId="0" borderId="0" xfId="11" applyFont="1" applyFill="1" applyProtection="1">
      <protection locked="0"/>
    </xf>
    <xf numFmtId="0" fontId="33" fillId="0" borderId="0" xfId="11" applyFont="1" applyFill="1" applyProtection="1">
      <protection locked="0" hidden="1"/>
    </xf>
    <xf numFmtId="0" fontId="2" fillId="10" borderId="85" xfId="11" applyFont="1" applyFill="1" applyBorder="1" applyAlignment="1" applyProtection="1">
      <alignment horizontal="centerContinuous"/>
      <protection locked="0"/>
    </xf>
    <xf numFmtId="0" fontId="33" fillId="10" borderId="86" xfId="11" applyFont="1" applyFill="1" applyBorder="1" applyProtection="1">
      <protection locked="0" hidden="1"/>
    </xf>
    <xf numFmtId="0" fontId="2" fillId="10" borderId="87" xfId="11" applyFont="1" applyFill="1" applyBorder="1" applyAlignment="1" applyProtection="1">
      <alignment horizontal="centerContinuous"/>
      <protection locked="0"/>
    </xf>
    <xf numFmtId="0" fontId="2" fillId="10" borderId="88" xfId="11" applyFont="1" applyFill="1" applyBorder="1" applyProtection="1">
      <protection locked="0"/>
    </xf>
    <xf numFmtId="0" fontId="13" fillId="10" borderId="88" xfId="11" applyFont="1" applyFill="1" applyBorder="1" applyProtection="1">
      <protection locked="0"/>
    </xf>
    <xf numFmtId="0" fontId="33" fillId="10" borderId="88" xfId="11" applyFont="1" applyFill="1" applyBorder="1" applyProtection="1">
      <protection locked="0" hidden="1"/>
    </xf>
    <xf numFmtId="0" fontId="33" fillId="10" borderId="89" xfId="11" applyFont="1" applyFill="1" applyBorder="1" applyProtection="1">
      <protection locked="0" hidden="1"/>
    </xf>
    <xf numFmtId="0" fontId="2" fillId="8" borderId="0" xfId="11" applyFont="1" applyFill="1" applyBorder="1" applyProtection="1">
      <protection locked="0"/>
    </xf>
    <xf numFmtId="0" fontId="13" fillId="8" borderId="0" xfId="11" applyFont="1" applyFill="1" applyProtection="1">
      <protection locked="0"/>
    </xf>
    <xf numFmtId="0" fontId="2" fillId="10" borderId="86" xfId="11" applyFont="1" applyFill="1" applyBorder="1" applyProtection="1">
      <protection locked="0"/>
    </xf>
    <xf numFmtId="0" fontId="2" fillId="10" borderId="89" xfId="11" applyFont="1" applyFill="1" applyBorder="1" applyProtection="1">
      <protection locked="0"/>
    </xf>
    <xf numFmtId="0" fontId="13" fillId="8" borderId="0" xfId="11" applyFont="1" applyFill="1" applyBorder="1" applyProtection="1">
      <protection locked="0"/>
    </xf>
    <xf numFmtId="0" fontId="33" fillId="8" borderId="0" xfId="11" applyFont="1" applyFill="1" applyBorder="1" applyProtection="1">
      <protection locked="0" hidden="1"/>
    </xf>
    <xf numFmtId="0" fontId="2" fillId="8" borderId="0" xfId="11" applyFont="1" applyFill="1" applyAlignment="1" applyProtection="1">
      <alignment horizontal="centerContinuous"/>
      <protection locked="0"/>
    </xf>
    <xf numFmtId="0" fontId="33" fillId="8" borderId="0" xfId="11" applyFont="1" applyFill="1" applyProtection="1">
      <protection locked="0" hidden="1"/>
    </xf>
    <xf numFmtId="0" fontId="2" fillId="8" borderId="0" xfId="11" applyFont="1" applyFill="1" applyBorder="1" applyAlignment="1" applyProtection="1">
      <alignment horizontal="centerContinuous"/>
      <protection locked="0"/>
    </xf>
    <xf numFmtId="0" fontId="2" fillId="0" borderId="0" xfId="11" applyFont="1" applyFill="1" applyBorder="1" applyAlignment="1" applyProtection="1">
      <alignment horizontal="centerContinuous"/>
      <protection locked="0"/>
    </xf>
    <xf numFmtId="0" fontId="33" fillId="0" borderId="0" xfId="11" applyFont="1" applyFill="1" applyBorder="1" applyProtection="1">
      <protection locked="0" hidden="1"/>
    </xf>
    <xf numFmtId="0" fontId="13" fillId="0" borderId="0" xfId="11" applyFont="1" applyFill="1" applyAlignment="1" applyProtection="1">
      <alignment horizontal="centerContinuous"/>
      <protection locked="0" hidden="1"/>
    </xf>
    <xf numFmtId="0" fontId="13" fillId="0" borderId="0" xfId="11" applyFont="1" applyFill="1" applyProtection="1">
      <protection locked="0" hidden="1"/>
    </xf>
    <xf numFmtId="37" fontId="19" fillId="0" borderId="0" xfId="11" applyNumberFormat="1" applyFont="1" applyFill="1" applyBorder="1" applyProtection="1">
      <protection locked="0" hidden="1"/>
    </xf>
    <xf numFmtId="37" fontId="28" fillId="0" borderId="0" xfId="11" applyNumberFormat="1" applyFont="1" applyFill="1" applyBorder="1" applyProtection="1">
      <protection locked="0"/>
    </xf>
    <xf numFmtId="0" fontId="8" fillId="0" borderId="0" xfId="7" applyFont="1" applyFill="1" applyBorder="1" applyAlignment="1" applyProtection="1">
      <protection locked="0" hidden="1"/>
    </xf>
    <xf numFmtId="0" fontId="13" fillId="0" borderId="0" xfId="11" applyFont="1" applyFill="1" applyBorder="1" applyAlignment="1" applyProtection="1">
      <alignment horizontal="centerContinuous"/>
      <protection locked="0" hidden="1"/>
    </xf>
    <xf numFmtId="0" fontId="13" fillId="0" borderId="0" xfId="11" applyFont="1" applyFill="1" applyBorder="1" applyProtection="1">
      <protection locked="0" hidden="1"/>
    </xf>
    <xf numFmtId="0" fontId="8" fillId="0" borderId="0" xfId="7" applyFont="1" applyFill="1" applyBorder="1" applyAlignment="1" applyProtection="1">
      <protection locked="0"/>
    </xf>
    <xf numFmtId="0" fontId="9" fillId="0" borderId="0" xfId="9" applyFont="1" applyFill="1" applyProtection="1">
      <protection locked="0"/>
    </xf>
    <xf numFmtId="0" fontId="13" fillId="0" borderId="0" xfId="9" applyFont="1" applyFill="1" applyProtection="1">
      <protection locked="0"/>
    </xf>
    <xf numFmtId="0" fontId="13" fillId="0" borderId="0" xfId="9" applyFont="1" applyFill="1" applyBorder="1" applyProtection="1">
      <protection locked="0"/>
    </xf>
    <xf numFmtId="0" fontId="13" fillId="0" borderId="0" xfId="9" applyFont="1" applyFill="1" applyAlignment="1" applyProtection="1">
      <alignment horizontal="centerContinuous"/>
      <protection locked="0"/>
    </xf>
    <xf numFmtId="5" fontId="13" fillId="0" borderId="0" xfId="11" applyNumberFormat="1" applyFont="1" applyFill="1" applyBorder="1" applyProtection="1">
      <protection locked="0"/>
    </xf>
    <xf numFmtId="0" fontId="13" fillId="0" borderId="0" xfId="11" applyFont="1" applyFill="1" applyBorder="1" applyAlignment="1" applyProtection="1">
      <alignment horizontal="centerContinuous"/>
      <protection locked="0"/>
    </xf>
    <xf numFmtId="0" fontId="13" fillId="0" borderId="0" xfId="11" applyFont="1" applyFill="1" applyBorder="1" applyAlignment="1" applyProtection="1">
      <alignment horizontal="left"/>
      <protection locked="0"/>
    </xf>
    <xf numFmtId="0" fontId="13" fillId="0" borderId="0" xfId="11" applyFont="1" applyFill="1" applyBorder="1" applyAlignment="1" applyProtection="1">
      <alignment horizontal="right"/>
      <protection locked="0"/>
    </xf>
    <xf numFmtId="0" fontId="25" fillId="0" borderId="0" xfId="11" applyFont="1" applyFill="1" applyAlignment="1" applyProtection="1">
      <alignment horizontal="left"/>
      <protection locked="0" hidden="1"/>
    </xf>
    <xf numFmtId="0" fontId="9" fillId="0" borderId="0" xfId="11" applyFont="1" applyFill="1" applyAlignment="1" applyProtection="1">
      <alignment horizontal="centerContinuous"/>
      <protection locked="0" hidden="1"/>
    </xf>
    <xf numFmtId="0" fontId="2" fillId="0" borderId="0" xfId="11" applyFont="1" applyFill="1" applyProtection="1">
      <protection locked="0" hidden="1"/>
    </xf>
    <xf numFmtId="37" fontId="13" fillId="0" borderId="0" xfId="11" applyNumberFormat="1" applyFont="1" applyFill="1" applyBorder="1" applyAlignment="1" applyProtection="1">
      <alignment horizontal="centerContinuous"/>
      <protection locked="0" hidden="1"/>
    </xf>
    <xf numFmtId="0" fontId="2" fillId="0" borderId="0" xfId="11" applyFont="1" applyFill="1" applyBorder="1" applyAlignment="1" applyProtection="1">
      <protection locked="0" hidden="1"/>
    </xf>
    <xf numFmtId="0" fontId="13" fillId="0" borderId="0" xfId="11" applyFont="1" applyFill="1" applyBorder="1" applyAlignment="1" applyProtection="1">
      <alignment horizontal="center"/>
      <protection locked="0"/>
    </xf>
    <xf numFmtId="0" fontId="33" fillId="0" borderId="0" xfId="11" applyFont="1" applyFill="1" applyBorder="1" applyAlignment="1" applyProtection="1">
      <alignment horizontal="center"/>
      <protection locked="0" hidden="1"/>
    </xf>
    <xf numFmtId="0" fontId="8" fillId="0" borderId="0" xfId="11" applyFont="1" applyFill="1" applyBorder="1" applyAlignment="1" applyProtection="1">
      <alignment horizontal="centerContinuous"/>
      <protection locked="0" hidden="1"/>
    </xf>
    <xf numFmtId="0" fontId="8" fillId="0" borderId="0" xfId="11" applyFont="1" applyFill="1" applyBorder="1" applyAlignment="1" applyProtection="1">
      <alignment horizontal="center"/>
      <protection locked="0" hidden="1"/>
    </xf>
    <xf numFmtId="0" fontId="34" fillId="0" borderId="0" xfId="11" applyFont="1" applyFill="1" applyBorder="1" applyAlignment="1" applyProtection="1">
      <alignment horizontal="centerContinuous"/>
      <protection locked="0" hidden="1"/>
    </xf>
    <xf numFmtId="0" fontId="34" fillId="0" borderId="0" xfId="11" applyFont="1" applyFill="1" applyBorder="1" applyAlignment="1" applyProtection="1">
      <alignment horizontal="center"/>
      <protection locked="0" hidden="1"/>
    </xf>
    <xf numFmtId="0" fontId="8" fillId="0" borderId="0" xfId="11" applyFont="1" applyFill="1" applyAlignment="1" applyProtection="1">
      <alignment horizontal="centerContinuous"/>
      <protection locked="0" hidden="1"/>
    </xf>
    <xf numFmtId="0" fontId="8" fillId="0" borderId="0" xfId="11" applyFont="1" applyFill="1" applyBorder="1" applyAlignment="1" applyProtection="1">
      <alignment horizontal="centerContinuous"/>
      <protection locked="0"/>
    </xf>
    <xf numFmtId="37" fontId="28" fillId="0" borderId="0" xfId="11" applyNumberFormat="1" applyFont="1" applyFill="1" applyBorder="1" applyProtection="1">
      <protection locked="0" hidden="1"/>
    </xf>
    <xf numFmtId="5" fontId="19" fillId="0" borderId="0" xfId="11" applyNumberFormat="1" applyFont="1" applyFill="1" applyBorder="1" applyProtection="1">
      <protection locked="0" hidden="1"/>
    </xf>
    <xf numFmtId="5" fontId="19" fillId="0" borderId="0" xfId="6" applyFont="1" applyFill="1" applyBorder="1" applyProtection="1">
      <protection locked="0" hidden="1"/>
    </xf>
    <xf numFmtId="5" fontId="28" fillId="0" borderId="0" xfId="6" applyFont="1" applyFill="1" applyBorder="1" applyProtection="1">
      <protection locked="0"/>
    </xf>
    <xf numFmtId="38" fontId="19" fillId="0" borderId="0" xfId="11" applyNumberFormat="1" applyFont="1" applyFill="1" applyBorder="1" applyProtection="1">
      <protection locked="0" hidden="1"/>
    </xf>
    <xf numFmtId="38" fontId="28" fillId="0" borderId="0" xfId="11" applyNumberFormat="1" applyFont="1" applyFill="1" applyBorder="1" applyProtection="1">
      <protection locked="0"/>
    </xf>
    <xf numFmtId="0" fontId="13" fillId="0" borderId="0" xfId="11" applyFont="1" applyFill="1" applyAlignment="1" applyProtection="1">
      <alignment horizontal="centerContinuous"/>
      <protection locked="0"/>
    </xf>
    <xf numFmtId="0" fontId="22" fillId="0" borderId="0" xfId="11" applyFont="1" applyFill="1" applyAlignment="1" applyProtection="1">
      <alignment horizontal="centerContinuous"/>
      <protection locked="0"/>
    </xf>
    <xf numFmtId="0" fontId="22" fillId="0" borderId="0" xfId="11" applyFont="1" applyFill="1" applyProtection="1">
      <protection locked="0"/>
    </xf>
    <xf numFmtId="0" fontId="9" fillId="0" borderId="0" xfId="11" applyFont="1" applyFill="1" applyAlignment="1" applyProtection="1">
      <protection locked="0"/>
    </xf>
    <xf numFmtId="0" fontId="10" fillId="0" borderId="0" xfId="7" applyFont="1" applyAlignment="1" applyProtection="1"/>
    <xf numFmtId="0" fontId="2" fillId="8" borderId="0" xfId="8" applyFont="1" applyFill="1" applyProtection="1">
      <protection locked="0"/>
    </xf>
    <xf numFmtId="0" fontId="2" fillId="10" borderId="20" xfId="8" applyFont="1" applyFill="1" applyBorder="1" applyProtection="1">
      <protection locked="0"/>
    </xf>
    <xf numFmtId="0" fontId="2" fillId="10" borderId="10" xfId="8" applyFont="1" applyFill="1" applyBorder="1" applyProtection="1">
      <protection locked="0"/>
    </xf>
    <xf numFmtId="0" fontId="2" fillId="10" borderId="21" xfId="8" applyFont="1" applyFill="1" applyBorder="1" applyProtection="1">
      <protection locked="0"/>
    </xf>
    <xf numFmtId="0" fontId="13" fillId="8" borderId="0" xfId="8" applyFont="1" applyFill="1" applyProtection="1">
      <protection locked="0"/>
    </xf>
    <xf numFmtId="0" fontId="2" fillId="10" borderId="13" xfId="8" applyFont="1" applyFill="1" applyBorder="1" applyProtection="1">
      <protection locked="0"/>
    </xf>
    <xf numFmtId="38" fontId="2" fillId="10" borderId="3" xfId="8" applyNumberFormat="1" applyFont="1" applyFill="1" applyBorder="1" applyProtection="1">
      <protection locked="0"/>
    </xf>
    <xf numFmtId="38" fontId="2" fillId="8" borderId="0" xfId="8" applyNumberFormat="1" applyFont="1" applyFill="1" applyProtection="1">
      <protection locked="0"/>
    </xf>
    <xf numFmtId="38" fontId="1" fillId="10" borderId="4" xfId="8" applyNumberFormat="1" applyFont="1" applyFill="1" applyBorder="1" applyProtection="1">
      <protection locked="0"/>
    </xf>
    <xf numFmtId="0" fontId="1" fillId="10" borderId="20" xfId="8" applyFont="1" applyFill="1" applyBorder="1" applyProtection="1">
      <protection locked="0"/>
    </xf>
    <xf numFmtId="0" fontId="1" fillId="10" borderId="12" xfId="8" applyFont="1" applyFill="1" applyBorder="1" applyProtection="1">
      <protection locked="0"/>
    </xf>
    <xf numFmtId="0" fontId="1" fillId="10" borderId="13" xfId="8" applyFont="1" applyFill="1" applyBorder="1" applyProtection="1">
      <protection locked="0"/>
    </xf>
    <xf numFmtId="0" fontId="3" fillId="10" borderId="12" xfId="8" applyFont="1" applyFill="1" applyBorder="1" applyProtection="1">
      <protection locked="0"/>
    </xf>
    <xf numFmtId="0" fontId="1" fillId="10" borderId="3" xfId="8" applyFont="1" applyFill="1" applyBorder="1" applyProtection="1">
      <protection locked="0"/>
    </xf>
    <xf numFmtId="38" fontId="1" fillId="10" borderId="3" xfId="8" applyNumberFormat="1" applyFont="1" applyFill="1" applyBorder="1" applyProtection="1">
      <protection locked="0"/>
    </xf>
    <xf numFmtId="0" fontId="1" fillId="10" borderId="21" xfId="8" applyFont="1" applyFill="1" applyBorder="1" applyProtection="1">
      <protection locked="0"/>
    </xf>
    <xf numFmtId="0" fontId="14" fillId="10" borderId="12" xfId="8" applyFont="1" applyFill="1" applyBorder="1" applyProtection="1"/>
    <xf numFmtId="0" fontId="52" fillId="10" borderId="12" xfId="8" applyFont="1" applyFill="1" applyBorder="1" applyProtection="1">
      <protection locked="0"/>
    </xf>
    <xf numFmtId="0" fontId="13" fillId="10" borderId="10" xfId="8" applyFont="1" applyFill="1" applyBorder="1" applyProtection="1">
      <protection locked="0"/>
    </xf>
    <xf numFmtId="0" fontId="14" fillId="10" borderId="3" xfId="8" applyFont="1" applyFill="1" applyBorder="1" applyProtection="1">
      <protection locked="0"/>
    </xf>
    <xf numFmtId="0" fontId="1" fillId="7" borderId="4" xfId="8" applyFill="1" applyBorder="1"/>
    <xf numFmtId="0" fontId="1" fillId="7" borderId="20" xfId="8" applyFill="1" applyBorder="1"/>
    <xf numFmtId="0" fontId="1" fillId="7" borderId="10" xfId="8" applyFill="1" applyBorder="1"/>
    <xf numFmtId="0" fontId="1" fillId="7" borderId="13" xfId="8" applyFill="1" applyBorder="1"/>
    <xf numFmtId="0" fontId="1" fillId="7" borderId="3" xfId="8" applyFill="1" applyBorder="1"/>
    <xf numFmtId="0" fontId="1" fillId="7" borderId="21" xfId="8" applyFill="1" applyBorder="1"/>
    <xf numFmtId="0" fontId="1" fillId="10" borderId="12" xfId="8" applyFill="1" applyBorder="1" applyAlignment="1">
      <alignment horizontal="right"/>
    </xf>
    <xf numFmtId="0" fontId="1" fillId="10" borderId="10" xfId="8" applyFill="1" applyBorder="1"/>
    <xf numFmtId="0" fontId="1" fillId="10" borderId="13" xfId="8" applyFill="1" applyBorder="1"/>
    <xf numFmtId="0" fontId="1" fillId="10" borderId="3" xfId="8" applyFill="1" applyBorder="1"/>
    <xf numFmtId="0" fontId="1" fillId="10" borderId="21" xfId="8" applyFill="1" applyBorder="1"/>
    <xf numFmtId="0" fontId="1" fillId="8" borderId="0" xfId="8" applyFill="1"/>
    <xf numFmtId="0" fontId="60" fillId="8" borderId="0" xfId="11" applyFont="1" applyFill="1" applyAlignment="1" applyProtection="1">
      <alignment vertical="top" wrapText="1"/>
      <protection locked="0"/>
    </xf>
    <xf numFmtId="0" fontId="81" fillId="8" borderId="0" xfId="8" applyFont="1" applyFill="1" applyProtection="1">
      <protection locked="0"/>
    </xf>
    <xf numFmtId="0" fontId="81" fillId="8" borderId="0" xfId="8" applyFont="1" applyFill="1" applyAlignment="1" applyProtection="1">
      <alignment horizontal="left" vertical="top"/>
      <protection locked="0"/>
    </xf>
    <xf numFmtId="0" fontId="81" fillId="8" borderId="0" xfId="8" applyFont="1" applyFill="1" applyAlignment="1" applyProtection="1">
      <alignment horizontal="left" vertical="top"/>
    </xf>
    <xf numFmtId="0" fontId="81" fillId="8" borderId="0" xfId="8" applyFont="1" applyFill="1" applyProtection="1"/>
    <xf numFmtId="0" fontId="77" fillId="6" borderId="83" xfId="1" applyBorder="1" applyProtection="1">
      <protection locked="0"/>
    </xf>
    <xf numFmtId="0" fontId="77" fillId="6" borderId="90" xfId="1" applyBorder="1" applyProtection="1">
      <protection locked="0"/>
    </xf>
    <xf numFmtId="0" fontId="77" fillId="6" borderId="91" xfId="1" applyBorder="1" applyProtection="1">
      <protection locked="0"/>
    </xf>
    <xf numFmtId="0" fontId="77" fillId="6" borderId="84" xfId="1" applyBorder="1" applyProtection="1">
      <protection locked="0"/>
    </xf>
    <xf numFmtId="0" fontId="77" fillId="6" borderId="92" xfId="1" applyBorder="1" applyProtection="1">
      <protection locked="0"/>
    </xf>
    <xf numFmtId="0" fontId="81" fillId="8" borderId="0" xfId="8" applyFont="1" applyFill="1" applyBorder="1" applyProtection="1">
      <protection locked="0"/>
    </xf>
    <xf numFmtId="0" fontId="81" fillId="7" borderId="0" xfId="8" applyFont="1" applyFill="1" applyBorder="1" applyAlignment="1" applyProtection="1">
      <alignment vertical="top" wrapText="1"/>
      <protection locked="0"/>
    </xf>
    <xf numFmtId="0" fontId="81" fillId="7" borderId="0" xfId="8" applyFont="1" applyFill="1" applyBorder="1" applyAlignment="1">
      <alignment vertical="top" wrapText="1"/>
    </xf>
    <xf numFmtId="0" fontId="81" fillId="8" borderId="0" xfId="8" applyFont="1" applyFill="1" applyBorder="1" applyAlignment="1">
      <alignment vertical="top" wrapText="1"/>
    </xf>
    <xf numFmtId="0" fontId="1" fillId="8" borderId="0" xfId="8" applyFill="1" applyAlignment="1">
      <alignment horizontal="center" vertical="center"/>
    </xf>
    <xf numFmtId="0" fontId="0" fillId="7" borderId="0" xfId="0" applyFill="1" applyAlignment="1">
      <alignment vertical="center"/>
    </xf>
    <xf numFmtId="0" fontId="60" fillId="7" borderId="0" xfId="11" applyFont="1" applyFill="1" applyBorder="1" applyAlignment="1" applyProtection="1">
      <alignment horizontal="left" vertical="top" wrapText="1"/>
      <protection locked="0"/>
    </xf>
    <xf numFmtId="172" fontId="2" fillId="8" borderId="0" xfId="8" applyNumberFormat="1" applyFont="1" applyFill="1" applyProtection="1">
      <protection locked="0"/>
    </xf>
    <xf numFmtId="10" fontId="2" fillId="8" borderId="0" xfId="8" applyNumberFormat="1" applyFont="1" applyFill="1" applyProtection="1">
      <protection locked="0"/>
    </xf>
    <xf numFmtId="38" fontId="2" fillId="8" borderId="0" xfId="11" applyNumberFormat="1" applyFont="1" applyFill="1" applyProtection="1">
      <protection locked="0"/>
    </xf>
    <xf numFmtId="0" fontId="13" fillId="0" borderId="0" xfId="11" applyFont="1" applyFill="1" applyAlignment="1" applyProtection="1">
      <alignment horizontal="right"/>
      <protection locked="0"/>
    </xf>
    <xf numFmtId="0" fontId="35" fillId="7" borderId="0" xfId="11" applyFont="1" applyFill="1" applyAlignment="1" applyProtection="1">
      <alignment horizontal="right"/>
      <protection locked="0"/>
    </xf>
    <xf numFmtId="0" fontId="1" fillId="7" borderId="0" xfId="8" applyFill="1" applyAlignment="1" applyProtection="1">
      <alignment vertical="center"/>
      <protection locked="0"/>
    </xf>
    <xf numFmtId="0" fontId="39" fillId="7" borderId="0" xfId="8" applyFont="1" applyFill="1" applyAlignment="1" applyProtection="1">
      <alignment vertical="top" wrapText="1"/>
      <protection locked="0"/>
    </xf>
    <xf numFmtId="49" fontId="42" fillId="7" borderId="0" xfId="8" applyNumberFormat="1" applyFont="1" applyFill="1" applyBorder="1" applyAlignment="1" applyProtection="1">
      <alignment horizontal="center" vertical="top"/>
      <protection locked="0"/>
    </xf>
    <xf numFmtId="0" fontId="42" fillId="7" borderId="0" xfId="8" applyFont="1" applyFill="1" applyProtection="1">
      <protection locked="0"/>
    </xf>
    <xf numFmtId="0" fontId="44" fillId="7" borderId="0" xfId="8" applyFont="1" applyFill="1" applyProtection="1">
      <protection locked="0"/>
    </xf>
    <xf numFmtId="49" fontId="15" fillId="10" borderId="12" xfId="8" applyNumberFormat="1" applyFont="1" applyFill="1" applyBorder="1" applyAlignment="1" applyProtection="1">
      <alignment horizontal="center" vertical="center"/>
      <protection locked="0"/>
    </xf>
    <xf numFmtId="0" fontId="15" fillId="10" borderId="10" xfId="8" applyFont="1" applyFill="1" applyBorder="1" applyAlignment="1" applyProtection="1">
      <alignment vertical="center"/>
      <protection locked="0"/>
    </xf>
    <xf numFmtId="0" fontId="15" fillId="10" borderId="10" xfId="8" applyFont="1" applyFill="1" applyBorder="1" applyAlignment="1" applyProtection="1">
      <alignment vertical="center" wrapText="1"/>
      <protection locked="0"/>
    </xf>
    <xf numFmtId="49" fontId="15" fillId="10" borderId="13" xfId="8" applyNumberFormat="1" applyFont="1" applyFill="1" applyBorder="1" applyAlignment="1" applyProtection="1">
      <alignment horizontal="center" vertical="top"/>
      <protection locked="0"/>
    </xf>
    <xf numFmtId="0" fontId="15" fillId="10" borderId="21" xfId="8" applyFont="1" applyFill="1" applyBorder="1" applyAlignment="1" applyProtection="1">
      <alignment vertical="top" wrapText="1"/>
      <protection locked="0"/>
    </xf>
    <xf numFmtId="0" fontId="1" fillId="10" borderId="12" xfId="8" applyFill="1" applyBorder="1" applyProtection="1">
      <protection locked="0"/>
    </xf>
    <xf numFmtId="0" fontId="1" fillId="10" borderId="10" xfId="8" applyFill="1" applyBorder="1" applyProtection="1">
      <protection locked="0"/>
    </xf>
    <xf numFmtId="49" fontId="40" fillId="10" borderId="12" xfId="8" applyNumberFormat="1" applyFont="1" applyFill="1" applyBorder="1" applyAlignment="1" applyProtection="1">
      <alignment horizontal="left" vertical="top"/>
      <protection locked="0"/>
    </xf>
    <xf numFmtId="0" fontId="15" fillId="10" borderId="10" xfId="8" applyFont="1" applyFill="1" applyBorder="1" applyAlignment="1" applyProtection="1">
      <protection locked="0"/>
    </xf>
    <xf numFmtId="49" fontId="15" fillId="10" borderId="12" xfId="8" applyNumberFormat="1" applyFont="1" applyFill="1" applyBorder="1" applyAlignment="1" applyProtection="1">
      <alignment horizontal="center" vertical="top"/>
      <protection locked="0"/>
    </xf>
    <xf numFmtId="0" fontId="15" fillId="10" borderId="10" xfId="8" applyFont="1" applyFill="1" applyBorder="1" applyAlignment="1" applyProtection="1">
      <alignment horizontal="justify" vertical="top"/>
      <protection locked="0"/>
    </xf>
    <xf numFmtId="0" fontId="15" fillId="10" borderId="10" xfId="8" applyNumberFormat="1" applyFont="1" applyFill="1" applyBorder="1" applyAlignment="1" applyProtection="1">
      <alignment horizontal="justify" vertical="top" wrapText="1"/>
      <protection locked="0"/>
    </xf>
    <xf numFmtId="0" fontId="40" fillId="10" borderId="10" xfId="8" applyNumberFormat="1" applyFont="1" applyFill="1" applyBorder="1" applyAlignment="1" applyProtection="1">
      <alignment horizontal="justify" vertical="top" wrapText="1"/>
      <protection locked="0"/>
    </xf>
    <xf numFmtId="0" fontId="40" fillId="10" borderId="10" xfId="8" applyFont="1" applyFill="1" applyBorder="1" applyAlignment="1" applyProtection="1">
      <alignment horizontal="justify" vertical="top" wrapText="1"/>
      <protection locked="0"/>
    </xf>
    <xf numFmtId="0" fontId="15" fillId="10" borderId="10" xfId="8" applyFont="1" applyFill="1" applyBorder="1" applyAlignment="1" applyProtection="1">
      <alignment horizontal="justify" vertical="top" wrapText="1"/>
      <protection locked="0"/>
    </xf>
    <xf numFmtId="0" fontId="41" fillId="10" borderId="12" xfId="8" applyFont="1" applyFill="1" applyBorder="1" applyAlignment="1" applyProtection="1">
      <alignment horizontal="left" vertical="top"/>
      <protection locked="0"/>
    </xf>
    <xf numFmtId="49" fontId="42" fillId="10" borderId="12" xfId="8" applyNumberFormat="1" applyFont="1" applyFill="1" applyBorder="1" applyAlignment="1" applyProtection="1">
      <alignment horizontal="center" vertical="top"/>
      <protection locked="0"/>
    </xf>
    <xf numFmtId="0" fontId="43" fillId="10" borderId="10" xfId="7" applyFont="1" applyFill="1" applyBorder="1" applyAlignment="1" applyProtection="1">
      <alignment horizontal="justify" vertical="top"/>
      <protection locked="0"/>
    </xf>
    <xf numFmtId="0" fontId="30" fillId="10" borderId="10" xfId="7" applyFont="1" applyFill="1" applyBorder="1" applyAlignment="1" applyProtection="1">
      <alignment horizontal="justify" vertical="top" wrapText="1"/>
      <protection locked="0"/>
    </xf>
    <xf numFmtId="0" fontId="1" fillId="10" borderId="13" xfId="8" applyFill="1" applyBorder="1" applyProtection="1">
      <protection locked="0"/>
    </xf>
    <xf numFmtId="0" fontId="42" fillId="10" borderId="21" xfId="8" applyFont="1" applyFill="1" applyBorder="1" applyAlignment="1" applyProtection="1">
      <alignment horizontal="justify" vertical="top"/>
      <protection locked="0"/>
    </xf>
    <xf numFmtId="0" fontId="6" fillId="7" borderId="0" xfId="11" applyFont="1" applyFill="1" applyAlignment="1" applyProtection="1">
      <alignment horizontal="right"/>
      <protection locked="0"/>
    </xf>
    <xf numFmtId="0" fontId="21" fillId="10" borderId="11" xfId="8" applyFont="1" applyFill="1" applyBorder="1" applyProtection="1">
      <protection locked="0"/>
    </xf>
    <xf numFmtId="0" fontId="71" fillId="10" borderId="20" xfId="11" applyFont="1" applyFill="1" applyBorder="1" applyAlignment="1" applyProtection="1">
      <alignment horizontal="right"/>
      <protection locked="0"/>
    </xf>
    <xf numFmtId="0" fontId="36" fillId="10" borderId="13" xfId="8" applyFont="1" applyFill="1" applyBorder="1" applyAlignment="1" applyProtection="1">
      <alignment horizontal="center" vertical="top" wrapText="1"/>
      <protection locked="0"/>
    </xf>
    <xf numFmtId="0" fontId="8" fillId="10" borderId="21" xfId="8" applyFont="1" applyFill="1" applyBorder="1" applyAlignment="1" applyProtection="1">
      <alignment horizontal="center"/>
      <protection locked="0"/>
    </xf>
    <xf numFmtId="0" fontId="1" fillId="7" borderId="11" xfId="8" applyFill="1" applyBorder="1"/>
    <xf numFmtId="0" fontId="2" fillId="7" borderId="4" xfId="8" applyFont="1" applyFill="1" applyBorder="1"/>
    <xf numFmtId="22" fontId="3" fillId="7" borderId="12" xfId="8" applyNumberFormat="1" applyFont="1" applyFill="1" applyBorder="1"/>
    <xf numFmtId="0" fontId="1" fillId="7" borderId="12" xfId="8" applyFill="1" applyBorder="1"/>
    <xf numFmtId="0" fontId="4" fillId="7" borderId="0" xfId="8" applyFont="1" applyFill="1" applyBorder="1"/>
    <xf numFmtId="0" fontId="3" fillId="7" borderId="0" xfId="8" applyFont="1" applyFill="1" applyBorder="1"/>
    <xf numFmtId="0" fontId="102" fillId="7" borderId="0" xfId="8" applyFont="1" applyFill="1" applyBorder="1"/>
    <xf numFmtId="0" fontId="3" fillId="7" borderId="0" xfId="8" applyFont="1" applyFill="1" applyBorder="1" applyAlignment="1">
      <alignment horizontal="center"/>
    </xf>
    <xf numFmtId="0" fontId="3" fillId="7" borderId="12" xfId="8" applyFont="1" applyFill="1" applyBorder="1" applyAlignment="1">
      <alignment horizontal="left"/>
    </xf>
    <xf numFmtId="0" fontId="8" fillId="8" borderId="31" xfId="7" applyFill="1" applyBorder="1" applyAlignment="1" applyProtection="1">
      <alignment wrapText="1"/>
      <protection locked="0" hidden="1"/>
    </xf>
    <xf numFmtId="0" fontId="8" fillId="8" borderId="31" xfId="7" applyFill="1" applyBorder="1" applyAlignment="1" applyProtection="1">
      <protection locked="0" hidden="1"/>
    </xf>
    <xf numFmtId="0" fontId="8" fillId="0" borderId="31" xfId="7" applyBorder="1" applyAlignment="1" applyProtection="1"/>
    <xf numFmtId="0" fontId="8" fillId="8" borderId="52" xfId="7" applyFont="1" applyFill="1" applyBorder="1" applyAlignment="1" applyProtection="1">
      <alignment wrapText="1"/>
      <protection locked="0" hidden="1"/>
    </xf>
    <xf numFmtId="0" fontId="1" fillId="0" borderId="31" xfId="8" applyFont="1" applyBorder="1" applyAlignment="1" applyProtection="1">
      <alignment vertical="top" wrapText="1"/>
      <protection locked="0"/>
    </xf>
    <xf numFmtId="0" fontId="8" fillId="0" borderId="31" xfId="7" applyBorder="1" applyAlignment="1" applyProtection="1">
      <alignment vertical="top" wrapText="1"/>
      <protection locked="0"/>
    </xf>
    <xf numFmtId="0" fontId="1" fillId="0" borderId="31" xfId="8" applyFont="1" applyBorder="1" applyAlignment="1" applyProtection="1">
      <alignment horizontal="left" vertical="top"/>
      <protection locked="0"/>
    </xf>
    <xf numFmtId="0" fontId="1" fillId="0" borderId="31" xfId="8" applyFont="1" applyBorder="1" applyAlignment="1" applyProtection="1">
      <alignment horizontal="left" vertical="top" wrapText="1"/>
      <protection locked="0"/>
    </xf>
    <xf numFmtId="0" fontId="93" fillId="0" borderId="31" xfId="8" applyFont="1" applyBorder="1"/>
    <xf numFmtId="0" fontId="3" fillId="0" borderId="0" xfId="8" applyFont="1" applyFill="1" applyBorder="1" applyAlignment="1" applyProtection="1">
      <alignment vertical="top"/>
      <protection locked="0"/>
    </xf>
    <xf numFmtId="0" fontId="3" fillId="0" borderId="31" xfId="8" applyFont="1" applyBorder="1" applyAlignment="1" applyProtection="1">
      <alignment horizontal="left" vertical="top" wrapText="1"/>
      <protection locked="0"/>
    </xf>
    <xf numFmtId="0" fontId="1" fillId="0" borderId="51" xfId="8" applyFont="1" applyFill="1" applyBorder="1" applyProtection="1">
      <protection locked="0"/>
    </xf>
    <xf numFmtId="0" fontId="1" fillId="0" borderId="31" xfId="8" applyNumberFormat="1" applyFont="1" applyFill="1" applyBorder="1" applyAlignment="1" applyProtection="1">
      <alignment wrapText="1"/>
      <protection locked="0" hidden="1"/>
    </xf>
    <xf numFmtId="0" fontId="1" fillId="0" borderId="31" xfId="8" applyFont="1" applyBorder="1" applyAlignment="1" applyProtection="1">
      <alignment horizontal="left" vertical="top" wrapText="1" indent="1"/>
      <protection locked="0"/>
    </xf>
    <xf numFmtId="0" fontId="1" fillId="0" borderId="31" xfId="8" applyFont="1" applyBorder="1" applyAlignment="1" applyProtection="1">
      <alignment horizontal="left" wrapText="1"/>
      <protection locked="0"/>
    </xf>
    <xf numFmtId="0" fontId="8" fillId="0" borderId="31" xfId="7" applyBorder="1" applyAlignment="1" applyProtection="1">
      <alignment horizontal="left" vertical="top" wrapText="1"/>
      <protection locked="0"/>
    </xf>
    <xf numFmtId="0" fontId="1" fillId="0" borderId="31" xfId="8" applyFont="1" applyFill="1" applyBorder="1" applyAlignment="1" applyProtection="1">
      <alignment horizontal="left" vertical="top" wrapText="1"/>
      <protection locked="0"/>
    </xf>
    <xf numFmtId="0" fontId="1" fillId="0" borderId="31" xfId="8" applyFont="1" applyBorder="1" applyProtection="1">
      <protection locked="0"/>
    </xf>
    <xf numFmtId="0" fontId="1" fillId="0" borderId="31" xfId="0" applyFont="1" applyBorder="1" applyAlignment="1">
      <alignment vertical="top" wrapText="1"/>
    </xf>
    <xf numFmtId="0" fontId="1" fillId="0" borderId="31" xfId="8" applyFont="1" applyBorder="1" applyAlignment="1" applyProtection="1">
      <alignment wrapText="1"/>
      <protection locked="0"/>
    </xf>
    <xf numFmtId="0" fontId="13" fillId="0" borderId="31" xfId="7" applyFont="1" applyBorder="1" applyAlignment="1" applyProtection="1">
      <alignment horizontal="left" vertical="top" wrapText="1" indent="1"/>
      <protection locked="0"/>
    </xf>
    <xf numFmtId="0" fontId="10" fillId="0" borderId="31" xfId="8" applyFont="1" applyBorder="1" applyProtection="1">
      <protection locked="0"/>
    </xf>
    <xf numFmtId="0" fontId="1" fillId="0" borderId="0" xfId="8" applyFont="1" applyFill="1" applyBorder="1" applyAlignment="1" applyProtection="1">
      <alignment horizontal="center" vertical="top"/>
      <protection locked="0"/>
    </xf>
    <xf numFmtId="0" fontId="1" fillId="0" borderId="31" xfId="8" applyFont="1" applyFill="1" applyBorder="1" applyAlignment="1" applyProtection="1">
      <alignment wrapText="1"/>
      <protection locked="0"/>
    </xf>
    <xf numFmtId="0" fontId="1" fillId="0" borderId="31" xfId="8" applyFont="1" applyFill="1" applyBorder="1" applyAlignment="1" applyProtection="1">
      <alignment horizontal="left" vertical="top"/>
      <protection locked="0"/>
    </xf>
    <xf numFmtId="0" fontId="13" fillId="0" borderId="31" xfId="7" applyFont="1" applyBorder="1" applyAlignment="1" applyProtection="1"/>
    <xf numFmtId="0" fontId="20" fillId="0" borderId="51" xfId="8" applyFont="1" applyFill="1" applyBorder="1" applyAlignment="1" applyProtection="1">
      <alignment vertical="top"/>
      <protection locked="0"/>
    </xf>
    <xf numFmtId="0" fontId="13" fillId="0" borderId="31" xfId="7" applyFont="1" applyFill="1" applyBorder="1" applyAlignment="1" applyProtection="1">
      <alignment wrapText="1"/>
    </xf>
    <xf numFmtId="0" fontId="1" fillId="0" borderId="31" xfId="8" applyFont="1" applyFill="1" applyBorder="1" applyProtection="1">
      <protection locked="0"/>
    </xf>
    <xf numFmtId="0" fontId="3" fillId="10" borderId="0" xfId="8" applyFont="1" applyFill="1" applyBorder="1" applyAlignment="1" applyProtection="1">
      <alignment horizontal="left" wrapText="1"/>
    </xf>
    <xf numFmtId="0" fontId="2" fillId="10" borderId="0" xfId="8" applyFont="1" applyFill="1" applyBorder="1" applyAlignment="1" applyProtection="1">
      <protection locked="0"/>
    </xf>
    <xf numFmtId="0" fontId="3" fillId="10" borderId="0" xfId="8" applyFont="1" applyFill="1" applyBorder="1" applyAlignment="1" applyProtection="1">
      <protection locked="0"/>
    </xf>
    <xf numFmtId="0" fontId="3" fillId="10" borderId="0" xfId="8" applyFont="1" applyFill="1"/>
    <xf numFmtId="0" fontId="86" fillId="10" borderId="4" xfId="0" applyFont="1" applyFill="1" applyBorder="1"/>
    <xf numFmtId="0" fontId="0" fillId="7" borderId="0" xfId="0" applyFill="1" applyAlignment="1">
      <alignment horizontal="center" vertical="center"/>
    </xf>
    <xf numFmtId="0" fontId="0" fillId="8" borderId="0" xfId="0" applyFill="1" applyAlignment="1">
      <alignment horizontal="center" vertical="center"/>
    </xf>
    <xf numFmtId="0" fontId="0" fillId="0" borderId="0" xfId="0" applyAlignment="1">
      <alignment horizontal="center" vertical="center"/>
    </xf>
    <xf numFmtId="0" fontId="3" fillId="10" borderId="4" xfId="8" applyFont="1" applyFill="1" applyBorder="1" applyAlignment="1" applyProtection="1">
      <protection locked="0"/>
    </xf>
    <xf numFmtId="0" fontId="83" fillId="7" borderId="0" xfId="11" applyNumberFormat="1" applyFont="1" applyFill="1" applyAlignment="1" applyProtection="1">
      <alignment horizontal="center" vertical="center"/>
      <protection hidden="1"/>
    </xf>
    <xf numFmtId="0" fontId="1" fillId="2" borderId="0" xfId="8" applyFont="1" applyFill="1" applyBorder="1"/>
    <xf numFmtId="0" fontId="2" fillId="0" borderId="0" xfId="8" applyFont="1" applyAlignment="1" applyProtection="1">
      <alignment vertical="center"/>
      <protection locked="0"/>
    </xf>
    <xf numFmtId="37" fontId="83" fillId="7" borderId="0" xfId="11" applyNumberFormat="1" applyFont="1" applyFill="1" applyAlignment="1" applyProtection="1">
      <alignment horizontal="center" vertical="center"/>
      <protection locked="0"/>
    </xf>
    <xf numFmtId="0" fontId="8" fillId="5" borderId="17" xfId="7" applyFill="1" applyBorder="1" applyAlignment="1" applyProtection="1">
      <protection hidden="1"/>
    </xf>
    <xf numFmtId="0" fontId="1" fillId="10" borderId="0" xfId="11" applyFont="1" applyFill="1" applyBorder="1" applyAlignment="1" applyProtection="1">
      <alignment horizontal="center"/>
    </xf>
    <xf numFmtId="0" fontId="1" fillId="10" borderId="4" xfId="11" applyFont="1" applyFill="1" applyBorder="1" applyAlignment="1" applyProtection="1">
      <alignment horizontal="center"/>
      <protection locked="0"/>
    </xf>
    <xf numFmtId="0" fontId="1" fillId="10" borderId="0" xfId="11" applyFont="1" applyFill="1" applyBorder="1" applyAlignment="1" applyProtection="1">
      <protection locked="0"/>
    </xf>
    <xf numFmtId="0" fontId="3" fillId="10" borderId="0" xfId="11" applyFont="1" applyFill="1" applyBorder="1" applyAlignment="1" applyProtection="1">
      <protection locked="0"/>
    </xf>
    <xf numFmtId="0" fontId="1" fillId="10" borderId="0" xfId="8" applyFont="1" applyFill="1" applyBorder="1" applyAlignment="1" applyProtection="1">
      <protection locked="0"/>
    </xf>
    <xf numFmtId="0" fontId="3" fillId="10" borderId="0" xfId="8" applyFont="1" applyFill="1" applyBorder="1" applyAlignment="1" applyProtection="1">
      <alignment horizontal="left"/>
      <protection locked="0"/>
    </xf>
    <xf numFmtId="0" fontId="82" fillId="7" borderId="0" xfId="11" applyFont="1" applyFill="1" applyAlignment="1" applyProtection="1">
      <alignment vertical="center"/>
      <protection hidden="1"/>
    </xf>
    <xf numFmtId="37" fontId="81" fillId="7" borderId="0" xfId="11" applyNumberFormat="1" applyFont="1" applyFill="1" applyAlignment="1" applyProtection="1">
      <alignment horizontal="right" vertical="center"/>
      <protection locked="0"/>
    </xf>
    <xf numFmtId="37" fontId="84" fillId="10" borderId="0" xfId="11" applyNumberFormat="1" applyFont="1" applyFill="1" applyBorder="1" applyAlignment="1" applyProtection="1">
      <alignment horizontal="center"/>
      <protection locked="0"/>
    </xf>
    <xf numFmtId="0" fontId="81" fillId="10" borderId="0" xfId="11" applyNumberFormat="1" applyFont="1" applyFill="1" applyBorder="1" applyAlignment="1" applyProtection="1">
      <protection locked="0"/>
    </xf>
    <xf numFmtId="1" fontId="81" fillId="10" borderId="0" xfId="8" applyNumberFormat="1" applyFont="1" applyFill="1" applyBorder="1" applyProtection="1">
      <protection locked="0"/>
    </xf>
    <xf numFmtId="2" fontId="81" fillId="10" borderId="0" xfId="11" applyNumberFormat="1" applyFont="1" applyFill="1" applyBorder="1" applyAlignment="1" applyProtection="1">
      <protection locked="0"/>
    </xf>
    <xf numFmtId="0" fontId="83" fillId="7" borderId="0" xfId="11" applyFont="1" applyFill="1" applyBorder="1" applyAlignment="1" applyProtection="1">
      <protection locked="0"/>
    </xf>
    <xf numFmtId="0" fontId="81" fillId="7" borderId="0" xfId="11" applyFont="1" applyFill="1" applyBorder="1" applyAlignment="1" applyProtection="1">
      <alignment horizontal="right"/>
      <protection locked="0"/>
    </xf>
    <xf numFmtId="0" fontId="83" fillId="7" borderId="0" xfId="11" applyFont="1" applyFill="1" applyBorder="1" applyAlignment="1" applyProtection="1">
      <alignment vertical="center"/>
      <protection locked="0"/>
    </xf>
    <xf numFmtId="0" fontId="83" fillId="7" borderId="0" xfId="11" applyFont="1" applyFill="1" applyBorder="1" applyAlignment="1" applyProtection="1">
      <alignment horizontal="center" vertical="center"/>
      <protection locked="0"/>
    </xf>
    <xf numFmtId="0" fontId="86" fillId="7" borderId="0" xfId="11" applyNumberFormat="1" applyFont="1" applyFill="1" applyAlignment="1" applyProtection="1">
      <alignment horizontal="center" vertical="center"/>
      <protection hidden="1"/>
    </xf>
    <xf numFmtId="0" fontId="86" fillId="7" borderId="0" xfId="11" applyNumberFormat="1" applyFont="1" applyFill="1" applyAlignment="1" applyProtection="1">
      <alignment vertical="center"/>
      <protection hidden="1"/>
    </xf>
    <xf numFmtId="37" fontId="83" fillId="7" borderId="0" xfId="11" applyNumberFormat="1" applyFont="1" applyFill="1" applyAlignment="1" applyProtection="1">
      <alignment vertical="center"/>
      <protection locked="0"/>
    </xf>
    <xf numFmtId="0" fontId="2" fillId="7" borderId="0" xfId="8" applyFont="1" applyFill="1" applyAlignment="1" applyProtection="1">
      <alignment vertical="center"/>
      <protection locked="0"/>
    </xf>
    <xf numFmtId="0" fontId="86" fillId="11" borderId="4" xfId="0" applyFont="1" applyFill="1" applyBorder="1" applyProtection="1"/>
    <xf numFmtId="0" fontId="86" fillId="11" borderId="0" xfId="0" applyFont="1" applyFill="1" applyBorder="1" applyAlignment="1" applyProtection="1">
      <alignment wrapText="1"/>
    </xf>
    <xf numFmtId="0" fontId="86" fillId="11" borderId="0" xfId="0" applyFont="1" applyFill="1" applyBorder="1" applyAlignment="1" applyProtection="1"/>
    <xf numFmtId="0" fontId="1" fillId="7" borderId="0" xfId="8" applyFont="1" applyFill="1" applyAlignment="1" applyProtection="1">
      <alignment horizontal="center" vertical="center"/>
      <protection locked="0"/>
    </xf>
    <xf numFmtId="0" fontId="2" fillId="11" borderId="0" xfId="8" applyFont="1" applyFill="1" applyBorder="1" applyAlignment="1" applyProtection="1">
      <protection locked="0"/>
    </xf>
    <xf numFmtId="37" fontId="80" fillId="7" borderId="0" xfId="11" applyNumberFormat="1" applyFont="1" applyFill="1" applyAlignment="1" applyProtection="1">
      <alignment horizontal="right" vertical="center"/>
      <protection locked="0"/>
    </xf>
    <xf numFmtId="0" fontId="3" fillId="11" borderId="73" xfId="8" applyFont="1" applyFill="1" applyBorder="1" applyAlignment="1" applyProtection="1">
      <protection locked="0"/>
    </xf>
    <xf numFmtId="0" fontId="3" fillId="11" borderId="0" xfId="8" applyFont="1" applyFill="1" applyBorder="1" applyAlignment="1" applyProtection="1">
      <protection locked="0"/>
    </xf>
    <xf numFmtId="0" fontId="1" fillId="11" borderId="0" xfId="8" applyFont="1" applyFill="1" applyBorder="1" applyAlignment="1" applyProtection="1">
      <protection locked="0"/>
    </xf>
    <xf numFmtId="0" fontId="3" fillId="7" borderId="0" xfId="8" applyFont="1" applyFill="1" applyAlignment="1" applyProtection="1">
      <alignment horizontal="left" vertical="center"/>
    </xf>
    <xf numFmtId="0" fontId="3" fillId="11" borderId="0" xfId="8" applyFont="1" applyFill="1" applyBorder="1" applyAlignment="1" applyProtection="1">
      <alignment horizontal="left"/>
      <protection locked="0"/>
    </xf>
    <xf numFmtId="0" fontId="1" fillId="11" borderId="11" xfId="8" applyFont="1" applyFill="1" applyBorder="1" applyAlignment="1" applyProtection="1">
      <alignment horizontal="right"/>
      <protection locked="0"/>
    </xf>
    <xf numFmtId="0" fontId="1" fillId="11" borderId="4" xfId="8" applyFont="1" applyFill="1" applyBorder="1" applyAlignment="1" applyProtection="1">
      <alignment horizontal="right"/>
      <protection locked="0"/>
    </xf>
    <xf numFmtId="0" fontId="1" fillId="11" borderId="20" xfId="8" applyFont="1" applyFill="1" applyBorder="1" applyAlignment="1" applyProtection="1">
      <alignment horizontal="right"/>
      <protection locked="0"/>
    </xf>
    <xf numFmtId="0" fontId="1" fillId="11" borderId="10" xfId="8" applyFont="1" applyFill="1" applyBorder="1" applyAlignment="1" applyProtection="1">
      <alignment horizontal="right"/>
      <protection locked="0"/>
    </xf>
    <xf numFmtId="0" fontId="3" fillId="11" borderId="10" xfId="8" applyFont="1" applyFill="1" applyBorder="1" applyAlignment="1" applyProtection="1">
      <alignment horizontal="right"/>
      <protection locked="0"/>
    </xf>
    <xf numFmtId="0" fontId="3" fillId="11" borderId="13" xfId="8" applyFont="1" applyFill="1" applyBorder="1" applyAlignment="1" applyProtection="1">
      <alignment horizontal="center"/>
      <protection locked="0"/>
    </xf>
    <xf numFmtId="0" fontId="3" fillId="11" borderId="4" xfId="8" applyFont="1" applyFill="1" applyBorder="1" applyAlignment="1" applyProtection="1">
      <alignment horizontal="left"/>
      <protection locked="0"/>
    </xf>
    <xf numFmtId="37" fontId="30" fillId="10" borderId="12" xfId="8" applyNumberFormat="1" applyFont="1" applyFill="1" applyBorder="1" applyAlignment="1" applyProtection="1">
      <alignment horizontal="left"/>
      <protection locked="0"/>
    </xf>
    <xf numFmtId="37" fontId="30" fillId="10" borderId="0" xfId="8" applyNumberFormat="1" applyFont="1" applyFill="1" applyBorder="1" applyAlignment="1" applyProtection="1">
      <alignment horizontal="centerContinuous"/>
      <protection locked="0"/>
    </xf>
    <xf numFmtId="37" fontId="16" fillId="10" borderId="4" xfId="8" applyNumberFormat="1" applyFont="1" applyFill="1" applyBorder="1" applyAlignment="1" applyProtection="1">
      <alignment horizontal="left"/>
      <protection locked="0"/>
    </xf>
    <xf numFmtId="37" fontId="16" fillId="10" borderId="0" xfId="8" applyNumberFormat="1" applyFont="1" applyFill="1" applyBorder="1" applyAlignment="1" applyProtection="1">
      <alignment horizontal="left"/>
      <protection locked="0"/>
    </xf>
    <xf numFmtId="0" fontId="3" fillId="10" borderId="65" xfId="8" applyFont="1" applyFill="1" applyBorder="1" applyAlignment="1" applyProtection="1">
      <alignment horizontal="left"/>
      <protection locked="0"/>
    </xf>
    <xf numFmtId="0" fontId="3" fillId="10" borderId="67" xfId="8" applyFont="1" applyFill="1" applyBorder="1" applyAlignment="1" applyProtection="1">
      <alignment horizontal="left"/>
      <protection locked="0"/>
    </xf>
    <xf numFmtId="37" fontId="13" fillId="10" borderId="67" xfId="8" applyNumberFormat="1" applyFont="1" applyFill="1" applyBorder="1" applyAlignment="1" applyProtection="1">
      <alignment horizontal="centerContinuous"/>
      <protection locked="0"/>
    </xf>
    <xf numFmtId="0" fontId="2" fillId="10" borderId="0" xfId="8" applyFont="1" applyFill="1" applyBorder="1" applyAlignment="1" applyProtection="1">
      <alignment horizontal="centerContinuous"/>
      <protection locked="0"/>
    </xf>
    <xf numFmtId="37" fontId="3" fillId="10" borderId="64" xfId="8" applyNumberFormat="1" applyFont="1" applyFill="1" applyBorder="1" applyAlignment="1" applyProtection="1">
      <alignment horizontal="left"/>
      <protection locked="0"/>
    </xf>
    <xf numFmtId="37" fontId="3" fillId="10" borderId="67" xfId="8" applyNumberFormat="1" applyFont="1" applyFill="1" applyBorder="1" applyAlignment="1" applyProtection="1">
      <alignment horizontal="left"/>
      <protection locked="0"/>
    </xf>
    <xf numFmtId="0" fontId="3" fillId="10" borderId="0" xfId="11" applyFont="1" applyFill="1" applyBorder="1" applyAlignment="1" applyProtection="1">
      <alignment horizontal="left" wrapText="1"/>
      <protection locked="0"/>
    </xf>
    <xf numFmtId="0" fontId="3" fillId="10" borderId="0" xfId="11" applyFont="1" applyFill="1" applyBorder="1" applyAlignment="1" applyProtection="1">
      <alignment horizontal="left"/>
      <protection locked="0"/>
    </xf>
    <xf numFmtId="0" fontId="24" fillId="10" borderId="4" xfId="11" applyFont="1" applyFill="1" applyBorder="1" applyProtection="1">
      <protection locked="0"/>
    </xf>
    <xf numFmtId="0" fontId="1" fillId="10" borderId="11" xfId="11" applyFont="1" applyFill="1" applyBorder="1" applyProtection="1">
      <protection locked="0"/>
    </xf>
    <xf numFmtId="0" fontId="1" fillId="10" borderId="20" xfId="11" applyFont="1" applyFill="1" applyBorder="1" applyAlignment="1" applyProtection="1">
      <alignment horizontal="center"/>
      <protection locked="0"/>
    </xf>
    <xf numFmtId="0" fontId="21" fillId="10" borderId="10" xfId="11" applyFont="1" applyFill="1" applyBorder="1" applyAlignment="1" applyProtection="1">
      <alignment horizontal="center"/>
      <protection locked="0"/>
    </xf>
    <xf numFmtId="5" fontId="1" fillId="12" borderId="10" xfId="6" applyFont="1" applyFill="1" applyBorder="1" applyProtection="1"/>
    <xf numFmtId="5" fontId="1" fillId="10" borderId="10" xfId="6" applyFont="1" applyFill="1" applyBorder="1" applyProtection="1"/>
    <xf numFmtId="5" fontId="1" fillId="10" borderId="19" xfId="11" quotePrefix="1" applyNumberFormat="1" applyFont="1" applyFill="1" applyBorder="1" applyAlignment="1" applyProtection="1"/>
    <xf numFmtId="5" fontId="1" fillId="10" borderId="10" xfId="11" applyNumberFormat="1" applyFont="1" applyFill="1" applyBorder="1" applyAlignment="1" applyProtection="1">
      <protection locked="0"/>
    </xf>
    <xf numFmtId="0" fontId="1" fillId="10" borderId="10" xfId="11" applyFont="1" applyFill="1" applyBorder="1" applyProtection="1">
      <protection locked="0"/>
    </xf>
    <xf numFmtId="169" fontId="1" fillId="10" borderId="10" xfId="11" applyNumberFormat="1" applyFont="1" applyFill="1" applyBorder="1" applyProtection="1"/>
    <xf numFmtId="5" fontId="1" fillId="10" borderId="10" xfId="11" applyNumberFormat="1" applyFont="1" applyFill="1" applyBorder="1" applyProtection="1"/>
    <xf numFmtId="0" fontId="1" fillId="10" borderId="10" xfId="11" applyFont="1" applyFill="1" applyBorder="1" applyAlignment="1" applyProtection="1">
      <alignment horizontal="fill"/>
      <protection locked="0"/>
    </xf>
    <xf numFmtId="0" fontId="1" fillId="10" borderId="10" xfId="11" applyFont="1" applyFill="1" applyBorder="1" applyAlignment="1" applyProtection="1">
      <alignment horizontal="center"/>
      <protection locked="0"/>
    </xf>
    <xf numFmtId="0" fontId="1" fillId="10" borderId="10" xfId="11" applyFont="1" applyFill="1" applyBorder="1" applyAlignment="1" applyProtection="1">
      <alignment horizontal="fill"/>
    </xf>
    <xf numFmtId="170" fontId="1" fillId="10" borderId="10" xfId="12" applyNumberFormat="1" applyFont="1" applyFill="1" applyBorder="1" applyProtection="1"/>
    <xf numFmtId="0" fontId="1" fillId="10" borderId="13" xfId="11" applyFont="1" applyFill="1" applyBorder="1" applyProtection="1">
      <protection locked="0"/>
    </xf>
    <xf numFmtId="0" fontId="1" fillId="10" borderId="3" xfId="11" applyFont="1" applyFill="1" applyBorder="1" applyAlignment="1" applyProtection="1">
      <alignment horizontal="centerContinuous"/>
      <protection locked="0"/>
    </xf>
    <xf numFmtId="169" fontId="1" fillId="10" borderId="3" xfId="11" applyNumberFormat="1" applyFont="1" applyFill="1" applyBorder="1" applyProtection="1"/>
    <xf numFmtId="169" fontId="1" fillId="10" borderId="21" xfId="11" applyNumberFormat="1" applyFont="1" applyFill="1" applyBorder="1" applyProtection="1"/>
    <xf numFmtId="0" fontId="33" fillId="10" borderId="0" xfId="11" applyFont="1" applyFill="1" applyBorder="1" applyAlignment="1" applyProtection="1">
      <protection hidden="1"/>
    </xf>
    <xf numFmtId="0" fontId="33" fillId="10" borderId="68" xfId="11" applyFont="1" applyFill="1" applyBorder="1" applyAlignment="1" applyProtection="1">
      <alignment horizontal="centerContinuous"/>
      <protection hidden="1"/>
    </xf>
    <xf numFmtId="0" fontId="3" fillId="10" borderId="0" xfId="11" applyFont="1" applyFill="1" applyBorder="1" applyAlignment="1" applyProtection="1">
      <alignment horizontal="center"/>
      <protection locked="0"/>
    </xf>
    <xf numFmtId="0" fontId="3" fillId="17" borderId="1" xfId="11" applyFont="1" applyFill="1" applyBorder="1" applyAlignment="1" applyProtection="1">
      <alignment horizontal="center" wrapText="1"/>
      <protection locked="0"/>
    </xf>
    <xf numFmtId="0" fontId="1" fillId="10" borderId="0" xfId="11" applyFont="1" applyFill="1" applyBorder="1" applyAlignment="1" applyProtection="1">
      <alignment horizontal="center" vertical="center" wrapText="1"/>
      <protection locked="0"/>
    </xf>
    <xf numFmtId="0" fontId="1" fillId="10" borderId="0" xfId="11" applyFont="1" applyFill="1" applyBorder="1" applyAlignment="1" applyProtection="1">
      <alignment horizontal="left"/>
      <protection locked="0"/>
    </xf>
    <xf numFmtId="0" fontId="1" fillId="10" borderId="0" xfId="11" applyFont="1" applyFill="1" applyBorder="1" applyAlignment="1" applyProtection="1">
      <alignment horizontal="left" vertical="top"/>
      <protection locked="0"/>
    </xf>
    <xf numFmtId="0" fontId="3" fillId="10" borderId="0" xfId="11" applyFont="1" applyFill="1" applyBorder="1" applyAlignment="1" applyProtection="1">
      <alignment horizontal="center" wrapText="1"/>
      <protection locked="0"/>
    </xf>
    <xf numFmtId="0" fontId="1" fillId="8" borderId="1" xfId="11" applyFont="1" applyFill="1" applyBorder="1" applyAlignment="1" applyProtection="1">
      <alignment horizontal="center" vertical="center" wrapText="1"/>
      <protection locked="0"/>
    </xf>
    <xf numFmtId="0" fontId="3" fillId="7" borderId="0" xfId="11" applyFont="1" applyFill="1" applyBorder="1" applyAlignment="1" applyProtection="1">
      <alignment horizontal="left"/>
    </xf>
    <xf numFmtId="0" fontId="3" fillId="7" borderId="0" xfId="8" applyFont="1" applyFill="1" applyAlignment="1" applyProtection="1">
      <alignment vertical="top"/>
      <protection locked="0"/>
    </xf>
    <xf numFmtId="0" fontId="14" fillId="10" borderId="67" xfId="11" applyFont="1" applyFill="1" applyBorder="1" applyAlignment="1" applyProtection="1">
      <alignment horizontal="left" vertical="center"/>
      <protection locked="0"/>
    </xf>
    <xf numFmtId="0" fontId="14" fillId="10" borderId="67" xfId="11" applyFont="1" applyFill="1" applyBorder="1" applyAlignment="1" applyProtection="1">
      <alignment horizontal="left"/>
      <protection locked="0"/>
    </xf>
    <xf numFmtId="0" fontId="45" fillId="10" borderId="0" xfId="11" applyFont="1" applyFill="1" applyBorder="1" applyAlignment="1" applyProtection="1">
      <alignment horizontal="left" wrapText="1"/>
      <protection locked="0"/>
    </xf>
    <xf numFmtId="0" fontId="14" fillId="10" borderId="0" xfId="11" applyFont="1" applyFill="1" applyBorder="1" applyAlignment="1" applyProtection="1">
      <alignment horizontal="left"/>
      <protection locked="0"/>
    </xf>
    <xf numFmtId="0" fontId="1" fillId="10" borderId="12" xfId="8" applyFont="1" applyFill="1" applyBorder="1" applyProtection="1"/>
    <xf numFmtId="0" fontId="2" fillId="10" borderId="67" xfId="8" applyFont="1" applyFill="1" applyBorder="1" applyAlignment="1" applyProtection="1">
      <protection locked="0"/>
    </xf>
    <xf numFmtId="0" fontId="0" fillId="7" borderId="0" xfId="0" applyFill="1" applyBorder="1"/>
    <xf numFmtId="0" fontId="1" fillId="7" borderId="0" xfId="11" applyFont="1" applyFill="1" applyBorder="1" applyAlignment="1" applyProtection="1">
      <alignment horizontal="right"/>
      <protection locked="0"/>
    </xf>
    <xf numFmtId="0" fontId="1" fillId="10" borderId="27" xfId="11" applyFont="1" applyFill="1" applyBorder="1" applyProtection="1">
      <protection locked="0"/>
    </xf>
    <xf numFmtId="0" fontId="0" fillId="10" borderId="30" xfId="0" applyFill="1" applyBorder="1"/>
    <xf numFmtId="0" fontId="1" fillId="10" borderId="51" xfId="11" applyFont="1" applyFill="1" applyBorder="1" applyProtection="1">
      <protection locked="0"/>
    </xf>
    <xf numFmtId="0" fontId="0" fillId="10" borderId="31" xfId="0" applyFill="1" applyBorder="1"/>
    <xf numFmtId="0" fontId="1" fillId="10" borderId="51" xfId="11" applyFont="1" applyFill="1" applyBorder="1" applyAlignment="1" applyProtection="1">
      <alignment horizontal="center" wrapText="1"/>
      <protection locked="0"/>
    </xf>
    <xf numFmtId="0" fontId="1" fillId="10" borderId="51" xfId="11" applyFont="1" applyFill="1" applyBorder="1" applyAlignment="1" applyProtection="1">
      <alignment horizontal="center" vertical="center" wrapText="1"/>
      <protection locked="0"/>
    </xf>
    <xf numFmtId="0" fontId="0" fillId="10" borderId="31" xfId="0" applyFill="1" applyBorder="1" applyAlignment="1">
      <alignment vertical="center"/>
    </xf>
    <xf numFmtId="0" fontId="1" fillId="10" borderId="32" xfId="11" applyFont="1" applyFill="1" applyBorder="1" applyProtection="1">
      <protection locked="0"/>
    </xf>
    <xf numFmtId="0" fontId="1" fillId="10" borderId="26" xfId="11" applyFont="1" applyFill="1" applyBorder="1" applyProtection="1">
      <protection locked="0"/>
    </xf>
    <xf numFmtId="0" fontId="0" fillId="10" borderId="34" xfId="0" applyFill="1" applyBorder="1"/>
    <xf numFmtId="0" fontId="61" fillId="7" borderId="0" xfId="11" applyFont="1" applyFill="1" applyBorder="1" applyAlignment="1" applyProtection="1">
      <alignment vertical="top" wrapText="1"/>
      <protection locked="0"/>
    </xf>
    <xf numFmtId="0" fontId="0" fillId="10" borderId="30" xfId="0" applyFill="1" applyBorder="1" applyProtection="1"/>
    <xf numFmtId="0" fontId="0" fillId="10" borderId="31" xfId="0" applyFill="1" applyBorder="1" applyProtection="1"/>
    <xf numFmtId="0" fontId="3" fillId="13" borderId="53" xfId="11" quotePrefix="1" applyFont="1" applyFill="1" applyBorder="1" applyAlignment="1" applyProtection="1">
      <alignment horizontal="center"/>
      <protection locked="0"/>
    </xf>
    <xf numFmtId="0" fontId="3" fillId="13" borderId="53" xfId="11" quotePrefix="1" applyFont="1" applyFill="1" applyBorder="1" applyAlignment="1" applyProtection="1">
      <alignment horizontal="center" vertical="top"/>
      <protection locked="0"/>
    </xf>
    <xf numFmtId="0" fontId="0" fillId="10" borderId="31" xfId="0" applyFill="1" applyBorder="1" applyAlignment="1" applyProtection="1">
      <alignment vertical="center"/>
    </xf>
    <xf numFmtId="0" fontId="0" fillId="10" borderId="34" xfId="0" applyFill="1" applyBorder="1" applyProtection="1"/>
    <xf numFmtId="0" fontId="3" fillId="10" borderId="65" xfId="11" applyFont="1" applyFill="1" applyBorder="1" applyAlignment="1" applyProtection="1">
      <alignment horizontal="left"/>
      <protection locked="0"/>
    </xf>
    <xf numFmtId="0" fontId="16" fillId="10" borderId="28" xfId="11" applyFont="1" applyFill="1" applyBorder="1" applyAlignment="1" applyProtection="1">
      <protection locked="0"/>
    </xf>
    <xf numFmtId="0" fontId="1" fillId="7" borderId="26" xfId="11" applyFont="1" applyFill="1" applyBorder="1" applyProtection="1">
      <protection locked="0"/>
    </xf>
    <xf numFmtId="0" fontId="60" fillId="8" borderId="0" xfId="11" applyFont="1" applyFill="1" applyBorder="1" applyAlignment="1" applyProtection="1">
      <alignment horizontal="left" vertical="top" wrapText="1"/>
      <protection locked="0"/>
    </xf>
    <xf numFmtId="0" fontId="8" fillId="8" borderId="54" xfId="7" applyFont="1" applyFill="1" applyBorder="1" applyAlignment="1" applyProtection="1">
      <alignment wrapText="1"/>
      <protection locked="0" hidden="1"/>
    </xf>
    <xf numFmtId="0" fontId="10" fillId="0" borderId="51" xfId="7" applyFont="1" applyFill="1" applyBorder="1" applyAlignment="1" applyProtection="1">
      <protection locked="0"/>
    </xf>
    <xf numFmtId="0" fontId="10" fillId="0" borderId="51" xfId="7" applyFont="1" applyBorder="1" applyAlignment="1" applyProtection="1"/>
    <xf numFmtId="0" fontId="1" fillId="19" borderId="0" xfId="8" applyFont="1" applyFill="1" applyProtection="1">
      <protection locked="0" hidden="1"/>
    </xf>
    <xf numFmtId="0" fontId="1" fillId="8" borderId="51" xfId="8" applyFont="1" applyFill="1" applyBorder="1" applyProtection="1">
      <protection locked="0" hidden="1"/>
    </xf>
    <xf numFmtId="0" fontId="1" fillId="8" borderId="0" xfId="8" applyFont="1" applyFill="1" applyBorder="1" applyProtection="1">
      <protection locked="0" hidden="1"/>
    </xf>
    <xf numFmtId="0" fontId="45" fillId="8" borderId="55" xfId="8" applyFont="1" applyFill="1" applyBorder="1" applyAlignment="1" applyProtection="1">
      <alignment horizontal="center" vertical="center" wrapText="1"/>
      <protection locked="0" hidden="1"/>
    </xf>
    <xf numFmtId="0" fontId="1" fillId="8" borderId="56" xfId="8" applyFont="1" applyFill="1" applyBorder="1" applyProtection="1">
      <protection locked="0" hidden="1"/>
    </xf>
    <xf numFmtId="0" fontId="1" fillId="8" borderId="3" xfId="8" applyFont="1" applyFill="1" applyBorder="1" applyProtection="1">
      <protection locked="0" hidden="1"/>
    </xf>
    <xf numFmtId="0" fontId="1" fillId="19" borderId="0" xfId="8" applyFill="1" applyProtection="1">
      <protection locked="0"/>
    </xf>
    <xf numFmtId="0" fontId="1" fillId="0" borderId="0" xfId="8" applyFont="1" applyFill="1" applyProtection="1">
      <protection locked="0"/>
    </xf>
    <xf numFmtId="0" fontId="1" fillId="0" borderId="34" xfId="8" applyFont="1" applyBorder="1" applyProtection="1">
      <protection locked="0"/>
    </xf>
    <xf numFmtId="0" fontId="1" fillId="0" borderId="26" xfId="8" applyFont="1" applyFill="1" applyBorder="1" applyProtection="1">
      <protection locked="0"/>
    </xf>
    <xf numFmtId="0" fontId="1" fillId="0" borderId="32" xfId="8" applyFont="1" applyFill="1" applyBorder="1" applyProtection="1">
      <protection locked="0"/>
    </xf>
    <xf numFmtId="0" fontId="1" fillId="19" borderId="0" xfId="8" applyFont="1" applyFill="1" applyAlignment="1" applyProtection="1">
      <alignment wrapText="1"/>
      <protection locked="0" hidden="1"/>
    </xf>
    <xf numFmtId="0" fontId="1" fillId="19" borderId="0" xfId="8" applyFont="1" applyFill="1" applyAlignment="1" applyProtection="1">
      <protection locked="0" hidden="1"/>
    </xf>
    <xf numFmtId="0" fontId="1" fillId="0" borderId="31" xfId="8" applyFont="1" applyBorder="1" applyAlignment="1" applyProtection="1">
      <protection locked="0"/>
    </xf>
    <xf numFmtId="0" fontId="1" fillId="0" borderId="31" xfId="8" applyFont="1" applyBorder="1" applyAlignment="1" applyProtection="1">
      <alignment horizontal="left"/>
      <protection locked="0"/>
    </xf>
    <xf numFmtId="0" fontId="1" fillId="0" borderId="51" xfId="8" applyFont="1" applyFill="1" applyBorder="1" applyAlignment="1" applyProtection="1">
      <alignment vertical="top"/>
      <protection locked="0"/>
    </xf>
    <xf numFmtId="0" fontId="8" fillId="19" borderId="0" xfId="7" applyFont="1" applyFill="1" applyAlignment="1" applyProtection="1">
      <protection locked="0" hidden="1"/>
    </xf>
    <xf numFmtId="0" fontId="1" fillId="19" borderId="0" xfId="8" applyFont="1" applyFill="1" applyBorder="1" applyProtection="1">
      <protection locked="0" hidden="1"/>
    </xf>
    <xf numFmtId="0" fontId="1" fillId="19" borderId="57" xfId="8" applyFont="1" applyFill="1" applyBorder="1" applyProtection="1">
      <protection locked="0" hidden="1"/>
    </xf>
    <xf numFmtId="0" fontId="1" fillId="19" borderId="58" xfId="8" applyFont="1" applyFill="1" applyBorder="1" applyProtection="1">
      <protection locked="0" hidden="1"/>
    </xf>
    <xf numFmtId="0" fontId="1" fillId="0" borderId="11" xfId="8" applyFont="1" applyBorder="1" applyProtection="1">
      <protection locked="0"/>
    </xf>
    <xf numFmtId="0" fontId="1" fillId="0" borderId="4" xfId="8" applyFont="1" applyBorder="1" applyProtection="1">
      <protection locked="0"/>
    </xf>
    <xf numFmtId="0" fontId="1" fillId="0" borderId="20" xfId="8" applyFont="1" applyBorder="1" applyProtection="1">
      <protection locked="0"/>
    </xf>
    <xf numFmtId="0" fontId="1" fillId="0" borderId="13" xfId="8" applyFont="1" applyBorder="1" applyAlignment="1" applyProtection="1">
      <alignment horizontal="left" vertical="top"/>
      <protection locked="0"/>
    </xf>
    <xf numFmtId="0" fontId="1" fillId="0" borderId="3" xfId="8" applyFont="1" applyBorder="1" applyAlignment="1" applyProtection="1">
      <alignment horizontal="left" vertical="top"/>
      <protection locked="0"/>
    </xf>
    <xf numFmtId="0" fontId="1" fillId="0" borderId="21" xfId="8" applyFont="1" applyBorder="1" applyAlignment="1" applyProtection="1">
      <alignment horizontal="left" vertical="top"/>
      <protection locked="0"/>
    </xf>
    <xf numFmtId="0" fontId="1" fillId="19" borderId="11" xfId="8" applyFont="1" applyFill="1" applyBorder="1" applyProtection="1">
      <protection locked="0"/>
    </xf>
    <xf numFmtId="0" fontId="1" fillId="19" borderId="4" xfId="8" applyFont="1" applyFill="1" applyBorder="1" applyProtection="1">
      <protection locked="0"/>
    </xf>
    <xf numFmtId="0" fontId="3" fillId="19" borderId="5" xfId="8" applyFont="1" applyFill="1" applyBorder="1" applyAlignment="1" applyProtection="1">
      <alignment horizontal="center"/>
      <protection locked="0"/>
    </xf>
    <xf numFmtId="0" fontId="1" fillId="0" borderId="1" xfId="8" applyFont="1" applyBorder="1" applyAlignment="1" applyProtection="1">
      <alignment shrinkToFit="1"/>
      <protection locked="0"/>
    </xf>
    <xf numFmtId="0" fontId="1" fillId="0" borderId="7" xfId="8" applyFont="1" applyBorder="1" applyAlignment="1" applyProtection="1">
      <alignment shrinkToFit="1"/>
      <protection locked="0"/>
    </xf>
    <xf numFmtId="0" fontId="1" fillId="0" borderId="1" xfId="8" applyFont="1" applyBorder="1" applyProtection="1">
      <protection locked="0"/>
    </xf>
    <xf numFmtId="0" fontId="1" fillId="20" borderId="1" xfId="8" applyFont="1" applyFill="1" applyBorder="1" applyProtection="1">
      <protection locked="0"/>
    </xf>
    <xf numFmtId="0" fontId="1" fillId="0" borderId="18" xfId="8" applyFont="1" applyBorder="1" applyAlignment="1" applyProtection="1">
      <protection locked="0"/>
    </xf>
    <xf numFmtId="0" fontId="1" fillId="0" borderId="17" xfId="8" applyFont="1" applyBorder="1" applyAlignment="1" applyProtection="1">
      <protection locked="0"/>
    </xf>
    <xf numFmtId="0" fontId="1" fillId="0" borderId="1" xfId="8" applyFont="1" applyFill="1" applyBorder="1" applyProtection="1">
      <protection locked="0"/>
    </xf>
    <xf numFmtId="0" fontId="1" fillId="0" borderId="7" xfId="8" applyFont="1" applyBorder="1" applyProtection="1">
      <protection locked="0"/>
    </xf>
    <xf numFmtId="0" fontId="1" fillId="0" borderId="4" xfId="8" applyFont="1" applyBorder="1" applyAlignment="1" applyProtection="1">
      <alignment horizontal="center"/>
      <protection locked="0"/>
    </xf>
    <xf numFmtId="0" fontId="1" fillId="0" borderId="0" xfId="8" applyFont="1" applyBorder="1" applyAlignment="1" applyProtection="1">
      <alignment horizontal="center" vertical="top"/>
      <protection locked="0"/>
    </xf>
    <xf numFmtId="0" fontId="1" fillId="0" borderId="0" xfId="8" applyFont="1" applyBorder="1" applyProtection="1">
      <protection locked="0"/>
    </xf>
    <xf numFmtId="0" fontId="1" fillId="10" borderId="0" xfId="9" applyFont="1" applyFill="1" applyBorder="1" applyAlignment="1" applyProtection="1">
      <alignment horizontal="center"/>
      <protection locked="0" hidden="1"/>
    </xf>
    <xf numFmtId="0" fontId="2" fillId="10" borderId="0" xfId="8" applyFont="1" applyFill="1" applyBorder="1" applyAlignment="1" applyProtection="1">
      <alignment wrapText="1"/>
      <protection locked="0"/>
    </xf>
    <xf numFmtId="0" fontId="3" fillId="10" borderId="0" xfId="8" applyFont="1" applyFill="1" applyBorder="1" applyAlignment="1" applyProtection="1"/>
    <xf numFmtId="0" fontId="1" fillId="10" borderId="0" xfId="8" applyFont="1" applyFill="1" applyBorder="1" applyAlignment="1" applyProtection="1">
      <protection locked="0"/>
    </xf>
    <xf numFmtId="0" fontId="8" fillId="5" borderId="3" xfId="7" applyFill="1" applyBorder="1" applyAlignment="1" applyProtection="1">
      <protection hidden="1"/>
    </xf>
    <xf numFmtId="0" fontId="3" fillId="0" borderId="12" xfId="8" applyFont="1" applyBorder="1" applyAlignment="1">
      <alignment vertical="center"/>
    </xf>
    <xf numFmtId="0" fontId="3" fillId="0" borderId="10" xfId="8" applyFont="1" applyBorder="1" applyAlignment="1">
      <alignment vertical="center"/>
    </xf>
    <xf numFmtId="0" fontId="3" fillId="0" borderId="12" xfId="8" applyFont="1" applyBorder="1" applyAlignment="1">
      <alignment vertical="top"/>
    </xf>
    <xf numFmtId="0" fontId="3" fillId="0" borderId="10" xfId="8" applyFont="1" applyBorder="1" applyAlignment="1">
      <alignment vertical="top"/>
    </xf>
    <xf numFmtId="0" fontId="1" fillId="3" borderId="93" xfId="8" applyFont="1" applyFill="1" applyBorder="1" applyProtection="1">
      <protection hidden="1"/>
    </xf>
    <xf numFmtId="0" fontId="1" fillId="4" borderId="93" xfId="8" applyFont="1" applyFill="1" applyBorder="1" applyProtection="1">
      <protection hidden="1"/>
    </xf>
    <xf numFmtId="0" fontId="1" fillId="4" borderId="93" xfId="8" applyFont="1" applyFill="1" applyBorder="1" applyAlignment="1" applyProtection="1">
      <alignment horizontal="left" indent="1"/>
      <protection hidden="1"/>
    </xf>
    <xf numFmtId="0" fontId="89" fillId="3" borderId="93" xfId="8" applyFont="1" applyFill="1" applyBorder="1"/>
    <xf numFmtId="0" fontId="1" fillId="4" borderId="94" xfId="8" applyFont="1" applyFill="1" applyBorder="1" applyProtection="1">
      <protection hidden="1"/>
    </xf>
    <xf numFmtId="0" fontId="8" fillId="5" borderId="1" xfId="7" applyFill="1" applyBorder="1" applyAlignment="1" applyProtection="1">
      <protection hidden="1"/>
    </xf>
    <xf numFmtId="0" fontId="8" fillId="5" borderId="1" xfId="7" applyFill="1" applyBorder="1" applyAlignment="1" applyProtection="1">
      <alignment wrapText="1"/>
      <protection hidden="1"/>
    </xf>
    <xf numFmtId="0" fontId="8" fillId="5" borderId="7" xfId="7" applyFill="1" applyBorder="1" applyAlignment="1" applyProtection="1">
      <protection hidden="1"/>
    </xf>
    <xf numFmtId="0" fontId="1" fillId="8" borderId="1" xfId="8" applyFont="1" applyFill="1" applyBorder="1" applyAlignment="1"/>
    <xf numFmtId="0" fontId="2" fillId="8" borderId="1" xfId="8" applyFont="1" applyFill="1" applyBorder="1" applyAlignment="1" applyProtection="1">
      <alignment horizontal="left" vertical="top"/>
      <protection locked="0"/>
    </xf>
    <xf numFmtId="0" fontId="3" fillId="10" borderId="0" xfId="11" applyFont="1" applyFill="1" applyBorder="1" applyAlignment="1" applyProtection="1">
      <alignment horizontal="left" wrapText="1"/>
      <protection locked="0"/>
    </xf>
    <xf numFmtId="37" fontId="80" fillId="0" borderId="48" xfId="11" applyNumberFormat="1" applyFont="1" applyFill="1" applyBorder="1" applyProtection="1">
      <protection locked="0"/>
    </xf>
    <xf numFmtId="37" fontId="80" fillId="0" borderId="49" xfId="11" applyNumberFormat="1" applyFont="1" applyFill="1" applyBorder="1" applyProtection="1">
      <protection locked="0"/>
    </xf>
    <xf numFmtId="37" fontId="80" fillId="10" borderId="18" xfId="11" applyNumberFormat="1" applyFont="1" applyFill="1" applyBorder="1" applyProtection="1">
      <protection locked="0"/>
    </xf>
    <xf numFmtId="49" fontId="3" fillId="10" borderId="67" xfId="11" applyNumberFormat="1" applyFont="1" applyFill="1" applyBorder="1" applyAlignment="1" applyProtection="1">
      <alignment horizontal="right"/>
      <protection locked="0"/>
    </xf>
    <xf numFmtId="0" fontId="13" fillId="10" borderId="67" xfId="11" applyFont="1" applyFill="1" applyBorder="1" applyAlignment="1" applyProtection="1">
      <protection locked="0"/>
    </xf>
    <xf numFmtId="0" fontId="3" fillId="10" borderId="11" xfId="8" applyFont="1" applyFill="1" applyBorder="1" applyProtection="1">
      <protection locked="0"/>
    </xf>
    <xf numFmtId="0" fontId="3" fillId="10" borderId="11" xfId="8" applyFont="1" applyFill="1" applyBorder="1" applyProtection="1"/>
    <xf numFmtId="0" fontId="3" fillId="10" borderId="4" xfId="8" applyFont="1" applyFill="1" applyBorder="1" applyAlignment="1" applyProtection="1"/>
    <xf numFmtId="10" fontId="45" fillId="21" borderId="1" xfId="12" applyNumberFormat="1" applyFont="1" applyFill="1" applyBorder="1" applyProtection="1">
      <protection locked="0"/>
    </xf>
    <xf numFmtId="0" fontId="3" fillId="10" borderId="0" xfId="11" applyFont="1" applyFill="1" applyBorder="1" applyAlignment="1" applyProtection="1">
      <alignment horizontal="left"/>
      <protection locked="0" hidden="1"/>
    </xf>
    <xf numFmtId="0" fontId="3" fillId="10" borderId="0" xfId="11" applyFont="1" applyFill="1" applyBorder="1" applyAlignment="1" applyProtection="1">
      <alignment horizontal="center"/>
    </xf>
    <xf numFmtId="0" fontId="3" fillId="10" borderId="0" xfId="11" applyFont="1" applyFill="1" applyBorder="1" applyAlignment="1" applyProtection="1">
      <protection locked="0"/>
    </xf>
    <xf numFmtId="37" fontId="3" fillId="10" borderId="0" xfId="11" applyNumberFormat="1" applyFont="1" applyFill="1" applyBorder="1" applyAlignment="1" applyProtection="1">
      <alignment horizontal="center"/>
      <protection locked="0" hidden="1"/>
    </xf>
    <xf numFmtId="0" fontId="33" fillId="10" borderId="0" xfId="11" applyFont="1" applyFill="1" applyBorder="1" applyAlignment="1" applyProtection="1">
      <alignment horizontal="center"/>
      <protection locked="0" hidden="1"/>
    </xf>
    <xf numFmtId="37" fontId="80" fillId="0" borderId="59" xfId="11" applyNumberFormat="1" applyFont="1" applyFill="1" applyBorder="1" applyProtection="1"/>
    <xf numFmtId="0" fontId="86" fillId="9" borderId="60" xfId="0" applyFont="1" applyFill="1" applyBorder="1" applyAlignment="1" applyProtection="1">
      <alignment horizontal="right"/>
    </xf>
    <xf numFmtId="0" fontId="81" fillId="10" borderId="0" xfId="8" applyFont="1" applyFill="1" applyBorder="1" applyAlignment="1" applyProtection="1">
      <alignment horizontal="left" vertical="top"/>
    </xf>
    <xf numFmtId="0" fontId="28" fillId="10" borderId="0" xfId="0" applyFont="1" applyFill="1" applyAlignment="1">
      <alignment vertical="center"/>
    </xf>
    <xf numFmtId="0" fontId="28" fillId="10" borderId="70" xfId="0" applyFont="1" applyFill="1" applyBorder="1" applyAlignment="1">
      <alignment vertical="center"/>
    </xf>
    <xf numFmtId="0" fontId="81" fillId="10" borderId="95" xfId="8" applyFont="1" applyFill="1" applyBorder="1" applyProtection="1">
      <protection locked="0"/>
    </xf>
    <xf numFmtId="0" fontId="81" fillId="8" borderId="96" xfId="8" applyFont="1" applyFill="1" applyBorder="1" applyAlignment="1" applyProtection="1">
      <alignment horizontal="center" vertical="center"/>
      <protection locked="0"/>
    </xf>
    <xf numFmtId="0" fontId="81" fillId="7" borderId="97" xfId="8" applyFont="1" applyFill="1" applyBorder="1" applyProtection="1">
      <protection locked="0"/>
    </xf>
    <xf numFmtId="0" fontId="1" fillId="8" borderId="18" xfId="8" applyFont="1" applyFill="1" applyBorder="1" applyAlignment="1" applyProtection="1">
      <alignment horizontal="left" vertical="center"/>
      <protection locked="0"/>
    </xf>
    <xf numFmtId="0" fontId="1" fillId="4" borderId="98" xfId="8" applyFont="1" applyFill="1" applyBorder="1" applyProtection="1">
      <protection hidden="1"/>
    </xf>
    <xf numFmtId="0" fontId="72" fillId="22" borderId="27" xfId="8" applyFont="1" applyFill="1" applyBorder="1" applyAlignment="1" applyProtection="1">
      <alignment horizontal="center" vertical="center"/>
      <protection locked="0" hidden="1"/>
    </xf>
    <xf numFmtId="0" fontId="72" fillId="22" borderId="28" xfId="8" applyFont="1" applyFill="1" applyBorder="1" applyAlignment="1" applyProtection="1">
      <alignment horizontal="center" vertical="center"/>
      <protection locked="0" hidden="1"/>
    </xf>
    <xf numFmtId="0" fontId="72" fillId="22" borderId="30" xfId="8" applyFont="1" applyFill="1" applyBorder="1" applyAlignment="1" applyProtection="1">
      <alignment horizontal="center" vertical="center"/>
      <protection locked="0" hidden="1"/>
    </xf>
    <xf numFmtId="0" fontId="16" fillId="22" borderId="51" xfId="8" applyFont="1" applyFill="1" applyBorder="1" applyAlignment="1" applyProtection="1">
      <alignment horizontal="center" vertical="center"/>
      <protection hidden="1"/>
    </xf>
    <xf numFmtId="0" fontId="16" fillId="22" borderId="0" xfId="8" applyFont="1" applyFill="1" applyBorder="1" applyAlignment="1" applyProtection="1">
      <alignment horizontal="center" vertical="center"/>
      <protection hidden="1"/>
    </xf>
    <xf numFmtId="0" fontId="16" fillId="22" borderId="31" xfId="8" applyFont="1" applyFill="1" applyBorder="1" applyAlignment="1" applyProtection="1">
      <alignment horizontal="center" vertical="center"/>
      <protection hidden="1"/>
    </xf>
    <xf numFmtId="0" fontId="3" fillId="22" borderId="61" xfId="8" applyFont="1" applyFill="1" applyBorder="1" applyAlignment="1" applyProtection="1">
      <alignment horizontal="center" vertical="center"/>
      <protection hidden="1"/>
    </xf>
    <xf numFmtId="0" fontId="3" fillId="22" borderId="62" xfId="8" applyFont="1" applyFill="1" applyBorder="1" applyAlignment="1" applyProtection="1">
      <alignment horizontal="center" vertical="center"/>
      <protection hidden="1"/>
    </xf>
    <xf numFmtId="0" fontId="3" fillId="22" borderId="52" xfId="8" applyFont="1" applyFill="1" applyBorder="1" applyAlignment="1" applyProtection="1">
      <alignment horizontal="center" vertical="center"/>
      <protection hidden="1"/>
    </xf>
    <xf numFmtId="0" fontId="10" fillId="0" borderId="51" xfId="7" applyFont="1" applyFill="1" applyBorder="1" applyAlignment="1" applyProtection="1">
      <alignment horizontal="left"/>
      <protection locked="0"/>
    </xf>
    <xf numFmtId="0" fontId="10" fillId="0" borderId="0" xfId="7" applyFont="1" applyBorder="1" applyAlignment="1" applyProtection="1">
      <alignment horizontal="left"/>
      <protection locked="0"/>
    </xf>
    <xf numFmtId="0" fontId="10" fillId="0" borderId="31" xfId="7" applyFont="1" applyBorder="1" applyAlignment="1" applyProtection="1">
      <alignment horizontal="left"/>
      <protection locked="0"/>
    </xf>
    <xf numFmtId="0" fontId="10" fillId="0" borderId="51" xfId="7" applyFont="1" applyFill="1" applyBorder="1" applyAlignment="1" applyProtection="1">
      <protection locked="0"/>
    </xf>
    <xf numFmtId="0" fontId="10" fillId="0" borderId="0" xfId="7" applyFont="1" applyFill="1" applyBorder="1" applyAlignment="1" applyProtection="1">
      <protection locked="0"/>
    </xf>
    <xf numFmtId="0" fontId="10" fillId="0" borderId="31" xfId="7" applyFont="1" applyFill="1" applyBorder="1" applyAlignment="1" applyProtection="1">
      <protection locked="0"/>
    </xf>
    <xf numFmtId="0" fontId="10" fillId="0" borderId="51" xfId="7" applyFont="1" applyBorder="1" applyAlignment="1" applyProtection="1"/>
    <xf numFmtId="0" fontId="10" fillId="0" borderId="0" xfId="7" applyFont="1" applyBorder="1" applyAlignment="1" applyProtection="1"/>
    <xf numFmtId="0" fontId="10" fillId="0" borderId="31" xfId="7" applyFont="1" applyBorder="1" applyAlignment="1" applyProtection="1"/>
    <xf numFmtId="0" fontId="10" fillId="0" borderId="0" xfId="7" applyFont="1" applyBorder="1" applyAlignment="1" applyProtection="1">
      <protection locked="0"/>
    </xf>
    <xf numFmtId="0" fontId="10" fillId="0" borderId="31" xfId="7" applyFont="1" applyBorder="1" applyAlignment="1" applyProtection="1">
      <protection locked="0"/>
    </xf>
    <xf numFmtId="2" fontId="10" fillId="0" borderId="51" xfId="7" applyNumberFormat="1" applyFont="1" applyBorder="1" applyAlignment="1" applyProtection="1"/>
    <xf numFmtId="2" fontId="10" fillId="0" borderId="0" xfId="7" applyNumberFormat="1" applyFont="1" applyBorder="1" applyAlignment="1" applyProtection="1"/>
    <xf numFmtId="2" fontId="10" fillId="0" borderId="31" xfId="7" applyNumberFormat="1" applyFont="1" applyBorder="1" applyAlignment="1" applyProtection="1"/>
    <xf numFmtId="0" fontId="8" fillId="0" borderId="51" xfId="7" applyFill="1" applyBorder="1" applyAlignment="1" applyProtection="1">
      <protection locked="0"/>
    </xf>
    <xf numFmtId="0" fontId="8" fillId="0" borderId="0" xfId="7" applyBorder="1" applyAlignment="1" applyProtection="1">
      <protection locked="0"/>
    </xf>
    <xf numFmtId="0" fontId="8" fillId="0" borderId="31" xfId="7" applyBorder="1" applyAlignment="1" applyProtection="1">
      <protection locked="0"/>
    </xf>
    <xf numFmtId="0" fontId="1" fillId="0" borderId="5" xfId="8" applyFont="1" applyBorder="1" applyAlignment="1" applyProtection="1">
      <alignment vertical="center" wrapText="1"/>
      <protection locked="0"/>
    </xf>
    <xf numFmtId="0" fontId="1" fillId="0" borderId="7" xfId="8" applyFont="1" applyBorder="1" applyAlignment="1" applyProtection="1">
      <alignment vertical="center" wrapText="1"/>
      <protection locked="0"/>
    </xf>
    <xf numFmtId="0" fontId="1" fillId="0" borderId="18" xfId="8" applyFont="1" applyBorder="1" applyAlignment="1" applyProtection="1">
      <protection locked="0"/>
    </xf>
    <xf numFmtId="0" fontId="1" fillId="0" borderId="17" xfId="8" applyFont="1" applyBorder="1" applyAlignment="1" applyProtection="1">
      <protection locked="0"/>
    </xf>
    <xf numFmtId="0" fontId="1" fillId="0" borderId="0" xfId="8" applyFont="1" applyBorder="1" applyAlignment="1" applyProtection="1">
      <protection locked="0"/>
    </xf>
    <xf numFmtId="0" fontId="1" fillId="0" borderId="0" xfId="8" applyFont="1" applyBorder="1" applyAlignment="1" applyProtection="1">
      <alignment horizontal="center" vertical="top"/>
      <protection locked="0"/>
    </xf>
    <xf numFmtId="0" fontId="1" fillId="0" borderId="13" xfId="8" applyFont="1" applyBorder="1" applyAlignment="1" applyProtection="1">
      <protection locked="0"/>
    </xf>
    <xf numFmtId="0" fontId="1" fillId="0" borderId="3" xfId="8" applyFont="1" applyBorder="1" applyAlignment="1" applyProtection="1">
      <protection locked="0"/>
    </xf>
    <xf numFmtId="0" fontId="1" fillId="0" borderId="4" xfId="8" applyFont="1" applyBorder="1" applyAlignment="1" applyProtection="1">
      <protection locked="0"/>
    </xf>
    <xf numFmtId="0" fontId="3" fillId="0" borderId="0" xfId="8" applyFont="1" applyAlignment="1" applyProtection="1">
      <alignment vertical="center" wrapText="1"/>
      <protection locked="0"/>
    </xf>
    <xf numFmtId="0" fontId="1" fillId="0" borderId="0" xfId="8" applyFont="1" applyAlignment="1" applyProtection="1">
      <alignment vertical="center"/>
      <protection locked="0"/>
    </xf>
    <xf numFmtId="0" fontId="4" fillId="19" borderId="18" xfId="8" applyFont="1" applyFill="1" applyBorder="1" applyAlignment="1" applyProtection="1">
      <alignment wrapText="1"/>
      <protection locked="0"/>
    </xf>
    <xf numFmtId="0" fontId="4" fillId="19" borderId="17" xfId="8" applyFont="1" applyFill="1" applyBorder="1" applyAlignment="1" applyProtection="1">
      <alignment wrapText="1"/>
      <protection locked="0"/>
    </xf>
    <xf numFmtId="0" fontId="4" fillId="19" borderId="19" xfId="8" applyFont="1" applyFill="1" applyBorder="1" applyAlignment="1" applyProtection="1">
      <alignment wrapText="1"/>
      <protection locked="0"/>
    </xf>
    <xf numFmtId="0" fontId="1" fillId="0" borderId="13" xfId="8" applyFont="1" applyBorder="1" applyAlignment="1" applyProtection="1">
      <alignment horizontal="left"/>
      <protection locked="0" hidden="1"/>
    </xf>
    <xf numFmtId="0" fontId="1" fillId="0" borderId="3" xfId="8" applyFont="1" applyBorder="1" applyAlignment="1" applyProtection="1">
      <alignment horizontal="left"/>
      <protection locked="0" hidden="1"/>
    </xf>
    <xf numFmtId="0" fontId="1" fillId="0" borderId="21" xfId="8" applyFont="1" applyBorder="1" applyAlignment="1" applyProtection="1">
      <alignment horizontal="left"/>
      <protection locked="0" hidden="1"/>
    </xf>
    <xf numFmtId="0" fontId="3" fillId="19" borderId="11" xfId="8" applyFont="1" applyFill="1" applyBorder="1" applyAlignment="1" applyProtection="1">
      <alignment horizontal="center"/>
      <protection locked="0"/>
    </xf>
    <xf numFmtId="0" fontId="3" fillId="19" borderId="4" xfId="8" applyFont="1" applyFill="1" applyBorder="1" applyAlignment="1" applyProtection="1">
      <alignment horizontal="center"/>
      <protection locked="0"/>
    </xf>
    <xf numFmtId="0" fontId="3" fillId="19" borderId="20" xfId="8" applyFont="1" applyFill="1" applyBorder="1" applyAlignment="1" applyProtection="1">
      <alignment horizontal="center"/>
      <protection locked="0"/>
    </xf>
    <xf numFmtId="0" fontId="1" fillId="0" borderId="11" xfId="8" applyFont="1" applyBorder="1" applyAlignment="1" applyProtection="1">
      <alignment vertical="center" wrapText="1"/>
      <protection locked="0"/>
    </xf>
    <xf numFmtId="0" fontId="1" fillId="0" borderId="20" xfId="8" applyFont="1" applyBorder="1" applyAlignment="1" applyProtection="1">
      <alignment vertical="center" wrapText="1"/>
      <protection locked="0"/>
    </xf>
    <xf numFmtId="0" fontId="1" fillId="0" borderId="13" xfId="8" applyFont="1" applyBorder="1" applyAlignment="1" applyProtection="1">
      <alignment vertical="center" wrapText="1"/>
      <protection locked="0"/>
    </xf>
    <xf numFmtId="0" fontId="1" fillId="0" borderId="21" xfId="8" applyFont="1" applyBorder="1" applyAlignment="1" applyProtection="1">
      <alignment vertical="center" wrapText="1"/>
      <protection locked="0"/>
    </xf>
    <xf numFmtId="0" fontId="1" fillId="8" borderId="11" xfId="8" applyFont="1" applyFill="1" applyBorder="1" applyAlignment="1" applyProtection="1">
      <alignment horizontal="left" vertical="top" wrapText="1"/>
      <protection locked="0"/>
    </xf>
    <xf numFmtId="0" fontId="2" fillId="8" borderId="4" xfId="8" applyFont="1" applyFill="1" applyBorder="1" applyAlignment="1" applyProtection="1">
      <alignment horizontal="left" vertical="top" wrapText="1"/>
      <protection locked="0"/>
    </xf>
    <xf numFmtId="0" fontId="2" fillId="8" borderId="20" xfId="8" applyFont="1" applyFill="1" applyBorder="1" applyAlignment="1" applyProtection="1">
      <alignment horizontal="left" vertical="top" wrapText="1"/>
      <protection locked="0"/>
    </xf>
    <xf numFmtId="0" fontId="2" fillId="8" borderId="12" xfId="8" applyFont="1" applyFill="1" applyBorder="1" applyAlignment="1" applyProtection="1">
      <alignment horizontal="left" vertical="top" wrapText="1"/>
      <protection locked="0"/>
    </xf>
    <xf numFmtId="0" fontId="2" fillId="8" borderId="0" xfId="8" applyFont="1" applyFill="1" applyBorder="1" applyAlignment="1" applyProtection="1">
      <alignment horizontal="left" vertical="top" wrapText="1"/>
      <protection locked="0"/>
    </xf>
    <xf numFmtId="0" fontId="2" fillId="8" borderId="10" xfId="8" applyFont="1" applyFill="1" applyBorder="1" applyAlignment="1" applyProtection="1">
      <alignment horizontal="left" vertical="top" wrapText="1"/>
      <protection locked="0"/>
    </xf>
    <xf numFmtId="0" fontId="2" fillId="8" borderId="13" xfId="8" applyFont="1" applyFill="1" applyBorder="1" applyAlignment="1" applyProtection="1">
      <alignment horizontal="left" vertical="top" wrapText="1"/>
      <protection locked="0"/>
    </xf>
    <xf numFmtId="0" fontId="2" fillId="8" borderId="3" xfId="8" applyFont="1" applyFill="1" applyBorder="1" applyAlignment="1" applyProtection="1">
      <alignment horizontal="left" vertical="top" wrapText="1"/>
      <protection locked="0"/>
    </xf>
    <xf numFmtId="0" fontId="2" fillId="8" borderId="21" xfId="8" applyFont="1" applyFill="1" applyBorder="1" applyAlignment="1" applyProtection="1">
      <alignment horizontal="left" vertical="top" wrapText="1"/>
      <protection locked="0"/>
    </xf>
    <xf numFmtId="0" fontId="79" fillId="10" borderId="67" xfId="0" applyFont="1" applyFill="1" applyBorder="1" applyAlignment="1">
      <alignment horizontal="center"/>
    </xf>
    <xf numFmtId="0" fontId="79" fillId="10" borderId="0" xfId="0" applyFont="1" applyFill="1" applyBorder="1" applyAlignment="1">
      <alignment horizontal="center"/>
    </xf>
    <xf numFmtId="0" fontId="14" fillId="7" borderId="0" xfId="8" applyFont="1" applyFill="1" applyAlignment="1" applyProtection="1">
      <alignment horizontal="center" vertical="center" wrapText="1"/>
    </xf>
    <xf numFmtId="0" fontId="3" fillId="7" borderId="0" xfId="8" applyFont="1" applyFill="1" applyAlignment="1" applyProtection="1">
      <alignment horizontal="center"/>
      <protection locked="0"/>
    </xf>
    <xf numFmtId="0" fontId="2" fillId="8" borderId="11" xfId="8" applyFont="1" applyFill="1" applyBorder="1" applyAlignment="1" applyProtection="1">
      <alignment horizontal="left" vertical="top" wrapText="1"/>
      <protection locked="0"/>
    </xf>
    <xf numFmtId="0" fontId="15" fillId="10" borderId="0" xfId="8" applyFont="1" applyFill="1" applyBorder="1" applyAlignment="1" applyProtection="1">
      <alignment horizontal="left" vertical="top" wrapText="1"/>
      <protection locked="0"/>
    </xf>
    <xf numFmtId="0" fontId="1" fillId="8" borderId="18" xfId="8" applyFont="1" applyFill="1" applyBorder="1" applyAlignment="1" applyProtection="1">
      <alignment horizontal="left" wrapText="1"/>
      <protection locked="0"/>
    </xf>
    <xf numFmtId="0" fontId="2" fillId="8" borderId="17" xfId="8" applyFont="1" applyFill="1" applyBorder="1" applyAlignment="1" applyProtection="1">
      <alignment horizontal="left" wrapText="1"/>
      <protection locked="0"/>
    </xf>
    <xf numFmtId="0" fontId="2" fillId="8" borderId="19" xfId="8" applyFont="1" applyFill="1" applyBorder="1" applyAlignment="1" applyProtection="1">
      <alignment horizontal="left" wrapText="1"/>
      <protection locked="0"/>
    </xf>
    <xf numFmtId="0" fontId="15" fillId="10" borderId="0" xfId="8" applyFont="1" applyFill="1" applyBorder="1" applyAlignment="1" applyProtection="1">
      <alignment horizontal="left" wrapText="1"/>
      <protection locked="0"/>
    </xf>
    <xf numFmtId="0" fontId="1" fillId="8" borderId="18" xfId="8" applyFont="1" applyFill="1" applyBorder="1" applyAlignment="1" applyProtection="1">
      <alignment horizontal="left" vertical="top" wrapText="1"/>
      <protection locked="0"/>
    </xf>
    <xf numFmtId="0" fontId="2" fillId="8" borderId="17" xfId="8" applyFont="1" applyFill="1" applyBorder="1" applyAlignment="1" applyProtection="1">
      <alignment horizontal="left" vertical="top" wrapText="1"/>
      <protection locked="0"/>
    </xf>
    <xf numFmtId="0" fontId="2" fillId="8" borderId="19" xfId="8" applyFont="1" applyFill="1" applyBorder="1" applyAlignment="1" applyProtection="1">
      <alignment horizontal="left" vertical="top" wrapText="1"/>
      <protection locked="0"/>
    </xf>
    <xf numFmtId="0" fontId="2" fillId="10" borderId="67" xfId="8" applyFont="1" applyFill="1" applyBorder="1" applyAlignment="1" applyProtection="1">
      <protection locked="0"/>
    </xf>
    <xf numFmtId="0" fontId="2" fillId="10" borderId="0" xfId="8" applyFont="1" applyFill="1" applyBorder="1" applyAlignment="1" applyProtection="1">
      <protection locked="0"/>
    </xf>
    <xf numFmtId="0" fontId="16" fillId="10" borderId="0" xfId="8" applyFont="1" applyFill="1" applyBorder="1" applyAlignment="1" applyProtection="1">
      <alignment vertical="top" wrapText="1"/>
      <protection locked="0"/>
    </xf>
    <xf numFmtId="0" fontId="2" fillId="10" borderId="0" xfId="8" applyFont="1" applyFill="1" applyBorder="1" applyAlignment="1" applyProtection="1">
      <alignment wrapText="1"/>
      <protection locked="0"/>
    </xf>
    <xf numFmtId="0" fontId="15" fillId="8" borderId="18" xfId="8" applyFont="1" applyFill="1" applyBorder="1" applyAlignment="1" applyProtection="1">
      <alignment horizontal="left" vertical="top" wrapText="1"/>
      <protection locked="0"/>
    </xf>
    <xf numFmtId="0" fontId="15" fillId="8" borderId="17" xfId="8" applyFont="1" applyFill="1" applyBorder="1" applyAlignment="1" applyProtection="1">
      <alignment horizontal="left" vertical="top" wrapText="1"/>
      <protection locked="0"/>
    </xf>
    <xf numFmtId="0" fontId="15" fillId="8" borderId="19" xfId="8" applyFont="1" applyFill="1" applyBorder="1" applyAlignment="1" applyProtection="1">
      <alignment horizontal="left" vertical="top" wrapText="1"/>
      <protection locked="0"/>
    </xf>
    <xf numFmtId="0" fontId="16" fillId="10" borderId="67" xfId="8" applyFont="1" applyFill="1" applyBorder="1" applyAlignment="1" applyProtection="1">
      <alignment horizontal="center" vertical="center" wrapText="1"/>
      <protection locked="0"/>
    </xf>
    <xf numFmtId="0" fontId="16" fillId="10" borderId="0" xfId="8" applyFont="1" applyFill="1" applyBorder="1" applyAlignment="1" applyProtection="1">
      <alignment horizontal="center" vertical="center" wrapText="1"/>
      <protection locked="0"/>
    </xf>
    <xf numFmtId="0" fontId="16" fillId="10" borderId="68" xfId="8" applyFont="1" applyFill="1" applyBorder="1" applyAlignment="1" applyProtection="1">
      <alignment horizontal="center" vertical="center" wrapText="1"/>
      <protection locked="0"/>
    </xf>
    <xf numFmtId="0" fontId="16" fillId="10" borderId="0" xfId="8" applyFont="1" applyFill="1" applyBorder="1" applyAlignment="1" applyProtection="1">
      <alignment vertical="center" wrapText="1"/>
      <protection locked="0"/>
    </xf>
    <xf numFmtId="0" fontId="2" fillId="10" borderId="0" xfId="8" applyFont="1" applyFill="1" applyBorder="1" applyAlignment="1" applyProtection="1">
      <alignment vertical="center" wrapText="1"/>
      <protection locked="0"/>
    </xf>
    <xf numFmtId="0" fontId="2" fillId="10" borderId="0" xfId="8" applyFont="1" applyFill="1" applyBorder="1" applyAlignment="1" applyProtection="1">
      <alignment horizontal="center"/>
    </xf>
    <xf numFmtId="0" fontId="2" fillId="10" borderId="0" xfId="8" applyFont="1" applyFill="1" applyBorder="1" applyAlignment="1" applyProtection="1">
      <alignment horizontal="center"/>
      <protection locked="0"/>
    </xf>
    <xf numFmtId="0" fontId="3" fillId="10" borderId="0" xfId="8" applyFont="1" applyFill="1" applyBorder="1" applyAlignment="1">
      <alignment horizontal="left" wrapText="1"/>
    </xf>
    <xf numFmtId="0" fontId="3" fillId="10" borderId="10" xfId="8" applyFont="1" applyFill="1" applyBorder="1" applyAlignment="1">
      <alignment horizontal="left" wrapText="1"/>
    </xf>
    <xf numFmtId="15" fontId="3" fillId="8" borderId="18" xfId="8" applyNumberFormat="1" applyFont="1" applyFill="1" applyBorder="1" applyAlignment="1" applyProtection="1">
      <alignment horizontal="left" vertical="center" wrapText="1"/>
      <protection locked="0"/>
    </xf>
    <xf numFmtId="0" fontId="3" fillId="8" borderId="17" xfId="8" applyFont="1" applyFill="1" applyBorder="1" applyAlignment="1" applyProtection="1">
      <alignment horizontal="left" vertical="center" wrapText="1"/>
      <protection locked="0"/>
    </xf>
    <xf numFmtId="0" fontId="3" fillId="8" borderId="19" xfId="8" applyFont="1" applyFill="1" applyBorder="1" applyAlignment="1" applyProtection="1">
      <alignment horizontal="left" vertical="center" wrapText="1"/>
      <protection locked="0"/>
    </xf>
    <xf numFmtId="0" fontId="3" fillId="7" borderId="0" xfId="8" applyFont="1" applyFill="1" applyAlignment="1" applyProtection="1">
      <alignment horizontal="center" vertical="center"/>
      <protection hidden="1"/>
    </xf>
    <xf numFmtId="0" fontId="3" fillId="7" borderId="3" xfId="8" applyFont="1" applyFill="1" applyBorder="1" applyAlignment="1" applyProtection="1">
      <alignment horizontal="left" vertical="top" wrapText="1"/>
      <protection locked="0"/>
    </xf>
    <xf numFmtId="0" fontId="3" fillId="10" borderId="4" xfId="8" applyFont="1" applyFill="1" applyBorder="1" applyAlignment="1">
      <alignment horizontal="center" vertical="center"/>
    </xf>
    <xf numFmtId="0" fontId="3" fillId="10" borderId="0" xfId="8" applyFont="1" applyFill="1" applyBorder="1" applyAlignment="1">
      <alignment horizontal="center" vertical="center"/>
    </xf>
    <xf numFmtId="0" fontId="1" fillId="8" borderId="11" xfId="8" applyFont="1" applyFill="1" applyBorder="1" applyAlignment="1">
      <alignment horizontal="left" vertical="top" wrapText="1"/>
    </xf>
    <xf numFmtId="0" fontId="1" fillId="8" borderId="4" xfId="8" applyFont="1" applyFill="1" applyBorder="1" applyAlignment="1">
      <alignment horizontal="left" vertical="top" wrapText="1"/>
    </xf>
    <xf numFmtId="0" fontId="1" fillId="8" borderId="20" xfId="8" applyFont="1" applyFill="1" applyBorder="1" applyAlignment="1">
      <alignment horizontal="left" vertical="top" wrapText="1"/>
    </xf>
    <xf numFmtId="0" fontId="1" fillId="8" borderId="12" xfId="8" applyFont="1" applyFill="1" applyBorder="1" applyAlignment="1">
      <alignment horizontal="left" vertical="top" wrapText="1"/>
    </xf>
    <xf numFmtId="0" fontId="1" fillId="8" borderId="0" xfId="8" applyFont="1" applyFill="1" applyBorder="1" applyAlignment="1">
      <alignment horizontal="left" vertical="top" wrapText="1"/>
    </xf>
    <xf numFmtId="0" fontId="1" fillId="8" borderId="10" xfId="8" applyFont="1" applyFill="1" applyBorder="1" applyAlignment="1">
      <alignment horizontal="left" vertical="top" wrapText="1"/>
    </xf>
    <xf numFmtId="0" fontId="1" fillId="8" borderId="13" xfId="8" applyFont="1" applyFill="1" applyBorder="1" applyAlignment="1">
      <alignment horizontal="left" vertical="top" wrapText="1"/>
    </xf>
    <xf numFmtId="0" fontId="1" fillId="8" borderId="3" xfId="8" applyFont="1" applyFill="1" applyBorder="1" applyAlignment="1">
      <alignment horizontal="left" vertical="top" wrapText="1"/>
    </xf>
    <xf numFmtId="0" fontId="1" fillId="8" borderId="21" xfId="8" applyFont="1" applyFill="1" applyBorder="1" applyAlignment="1">
      <alignment horizontal="left" vertical="top" wrapText="1"/>
    </xf>
    <xf numFmtId="0" fontId="2" fillId="8" borderId="18" xfId="8" applyFont="1" applyFill="1" applyBorder="1" applyAlignment="1" applyProtection="1">
      <alignment horizontal="left"/>
      <protection locked="0"/>
    </xf>
    <xf numFmtId="0" fontId="2" fillId="8" borderId="17" xfId="8" applyFont="1" applyFill="1" applyBorder="1" applyAlignment="1" applyProtection="1">
      <alignment horizontal="left"/>
      <protection locked="0"/>
    </xf>
    <xf numFmtId="0" fontId="2" fillId="8" borderId="19" xfId="8" applyFont="1" applyFill="1" applyBorder="1" applyAlignment="1" applyProtection="1">
      <alignment horizontal="left"/>
      <protection locked="0"/>
    </xf>
    <xf numFmtId="0" fontId="3" fillId="10" borderId="0" xfId="8" applyFont="1" applyFill="1" applyBorder="1" applyAlignment="1" applyProtection="1">
      <alignment horizontal="left" wrapText="1"/>
    </xf>
    <xf numFmtId="0" fontId="3" fillId="10" borderId="18" xfId="8" applyFont="1" applyFill="1" applyBorder="1" applyAlignment="1" applyProtection="1">
      <alignment horizontal="left" vertical="center"/>
    </xf>
    <xf numFmtId="0" fontId="3" fillId="10" borderId="17" xfId="8" applyFont="1" applyFill="1" applyBorder="1" applyAlignment="1" applyProtection="1">
      <alignment horizontal="left" vertical="center"/>
    </xf>
    <xf numFmtId="0" fontId="3" fillId="10" borderId="19" xfId="8" applyFont="1" applyFill="1" applyBorder="1" applyAlignment="1" applyProtection="1">
      <alignment horizontal="left" vertical="center"/>
    </xf>
    <xf numFmtId="164" fontId="81" fillId="8" borderId="18" xfId="11" applyNumberFormat="1" applyFont="1" applyFill="1" applyBorder="1" applyAlignment="1" applyProtection="1">
      <alignment horizontal="center"/>
      <protection locked="0"/>
    </xf>
    <xf numFmtId="164" fontId="81" fillId="8" borderId="19" xfId="11" applyNumberFormat="1" applyFont="1" applyFill="1" applyBorder="1" applyAlignment="1" applyProtection="1">
      <alignment horizontal="center"/>
      <protection locked="0"/>
    </xf>
    <xf numFmtId="0" fontId="86" fillId="10" borderId="0" xfId="0" applyFont="1" applyFill="1" applyBorder="1" applyAlignment="1">
      <alignment horizontal="center" wrapText="1"/>
    </xf>
    <xf numFmtId="0" fontId="83" fillId="7" borderId="0" xfId="11" applyNumberFormat="1" applyFont="1" applyFill="1" applyAlignment="1" applyProtection="1">
      <alignment horizontal="center"/>
      <protection hidden="1"/>
    </xf>
    <xf numFmtId="37" fontId="83" fillId="7" borderId="3" xfId="11" applyNumberFormat="1" applyFont="1" applyFill="1" applyBorder="1" applyAlignment="1" applyProtection="1">
      <alignment horizontal="center" vertical="center"/>
      <protection locked="0"/>
    </xf>
    <xf numFmtId="0" fontId="3" fillId="10" borderId="0" xfId="8" applyFont="1" applyFill="1" applyBorder="1" applyAlignment="1" applyProtection="1">
      <alignment horizontal="left" wrapText="1"/>
      <protection locked="0"/>
    </xf>
    <xf numFmtId="0" fontId="3" fillId="10" borderId="12" xfId="11" applyFont="1" applyFill="1" applyBorder="1" applyAlignment="1" applyProtection="1">
      <alignment horizontal="center" vertical="center"/>
      <protection locked="0"/>
    </xf>
    <xf numFmtId="0" fontId="3" fillId="10" borderId="0" xfId="11" applyFont="1" applyFill="1" applyBorder="1" applyAlignment="1" applyProtection="1">
      <alignment horizontal="center" vertical="center"/>
      <protection locked="0"/>
    </xf>
    <xf numFmtId="0" fontId="3" fillId="10" borderId="10" xfId="11" applyFont="1" applyFill="1" applyBorder="1" applyAlignment="1" applyProtection="1">
      <alignment horizontal="center" vertical="center"/>
      <protection locked="0"/>
    </xf>
    <xf numFmtId="0" fontId="1" fillId="0" borderId="11" xfId="11" applyFont="1" applyFill="1" applyBorder="1" applyAlignment="1" applyProtection="1">
      <alignment horizontal="left" vertical="top" wrapText="1"/>
      <protection locked="0"/>
    </xf>
    <xf numFmtId="0" fontId="2" fillId="0" borderId="4" xfId="11" applyFont="1" applyFill="1" applyBorder="1" applyAlignment="1" applyProtection="1">
      <alignment horizontal="left" vertical="top" wrapText="1"/>
      <protection locked="0"/>
    </xf>
    <xf numFmtId="0" fontId="2" fillId="0" borderId="20" xfId="11" applyFont="1" applyFill="1" applyBorder="1" applyAlignment="1" applyProtection="1">
      <alignment horizontal="left" vertical="top" wrapText="1"/>
      <protection locked="0"/>
    </xf>
    <xf numFmtId="0" fontId="2" fillId="0" borderId="12" xfId="11" applyFont="1" applyFill="1" applyBorder="1" applyAlignment="1" applyProtection="1">
      <alignment horizontal="left" vertical="top" wrapText="1"/>
      <protection locked="0"/>
    </xf>
    <xf numFmtId="0" fontId="2" fillId="0" borderId="0" xfId="11" applyFont="1" applyFill="1" applyBorder="1" applyAlignment="1" applyProtection="1">
      <alignment horizontal="left" vertical="top" wrapText="1"/>
      <protection locked="0"/>
    </xf>
    <xf numFmtId="0" fontId="2" fillId="0" borderId="10" xfId="11" applyFont="1" applyFill="1" applyBorder="1" applyAlignment="1" applyProtection="1">
      <alignment horizontal="left" vertical="top" wrapText="1"/>
      <protection locked="0"/>
    </xf>
    <xf numFmtId="0" fontId="2" fillId="0" borderId="13" xfId="11" applyFont="1" applyFill="1" applyBorder="1" applyAlignment="1" applyProtection="1">
      <alignment horizontal="left" vertical="top" wrapText="1"/>
      <protection locked="0"/>
    </xf>
    <xf numFmtId="0" fontId="2" fillId="0" borderId="3" xfId="11" applyFont="1" applyFill="1" applyBorder="1" applyAlignment="1" applyProtection="1">
      <alignment horizontal="left" vertical="top" wrapText="1"/>
      <protection locked="0"/>
    </xf>
    <xf numFmtId="0" fontId="2" fillId="0" borderId="21" xfId="11" applyFont="1" applyFill="1" applyBorder="1" applyAlignment="1" applyProtection="1">
      <alignment horizontal="left" vertical="top" wrapText="1"/>
      <protection locked="0"/>
    </xf>
    <xf numFmtId="37" fontId="81" fillId="10" borderId="0" xfId="11" applyNumberFormat="1" applyFont="1" applyFill="1" applyBorder="1" applyAlignment="1" applyProtection="1">
      <alignment horizontal="right" wrapText="1"/>
      <protection locked="0"/>
    </xf>
    <xf numFmtId="37" fontId="81" fillId="10" borderId="3" xfId="11" applyNumberFormat="1" applyFont="1" applyFill="1" applyBorder="1" applyAlignment="1" applyProtection="1">
      <alignment horizontal="right" wrapText="1"/>
      <protection locked="0"/>
    </xf>
    <xf numFmtId="0" fontId="83" fillId="7" borderId="0" xfId="11" applyFont="1" applyFill="1" applyBorder="1" applyAlignment="1" applyProtection="1">
      <alignment horizontal="center" vertical="center"/>
      <protection locked="0"/>
    </xf>
    <xf numFmtId="0" fontId="83" fillId="0" borderId="0" xfId="11" applyFont="1" applyFill="1" applyBorder="1" applyAlignment="1" applyProtection="1">
      <alignment horizontal="center"/>
      <protection locked="0"/>
    </xf>
    <xf numFmtId="0" fontId="81" fillId="0" borderId="0" xfId="8" applyFont="1" applyFill="1" applyBorder="1" applyAlignment="1" applyProtection="1">
      <protection locked="0"/>
    </xf>
    <xf numFmtId="0" fontId="81" fillId="7" borderId="3" xfId="0" applyFont="1" applyFill="1" applyBorder="1" applyAlignment="1">
      <alignment horizontal="center" vertical="center"/>
    </xf>
    <xf numFmtId="37" fontId="83" fillId="7" borderId="0" xfId="11" applyNumberFormat="1" applyFont="1" applyFill="1" applyAlignment="1" applyProtection="1">
      <alignment horizontal="center" vertical="center"/>
      <protection locked="0"/>
    </xf>
    <xf numFmtId="0" fontId="86" fillId="7" borderId="0" xfId="11" applyNumberFormat="1" applyFont="1" applyFill="1" applyAlignment="1" applyProtection="1">
      <alignment horizontal="center" vertical="center"/>
      <protection hidden="1"/>
    </xf>
    <xf numFmtId="0" fontId="0" fillId="0" borderId="11" xfId="0" applyFill="1" applyBorder="1" applyAlignment="1" applyProtection="1">
      <alignment horizontal="left" vertical="top" wrapText="1"/>
    </xf>
    <xf numFmtId="0" fontId="0" fillId="0" borderId="4"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12"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10" xfId="0" applyFill="1" applyBorder="1" applyAlignment="1" applyProtection="1">
      <alignment horizontal="left" vertical="top" wrapText="1"/>
    </xf>
    <xf numFmtId="0" fontId="0" fillId="0" borderId="13" xfId="0" applyFill="1" applyBorder="1" applyAlignment="1" applyProtection="1">
      <alignment horizontal="left" vertical="top" wrapText="1"/>
    </xf>
    <xf numFmtId="0" fontId="0" fillId="0" borderId="3" xfId="0" applyFill="1" applyBorder="1" applyAlignment="1" applyProtection="1">
      <alignment horizontal="left" vertical="top" wrapText="1"/>
    </xf>
    <xf numFmtId="0" fontId="0" fillId="0" borderId="21" xfId="0" applyFill="1" applyBorder="1" applyAlignment="1" applyProtection="1">
      <alignment horizontal="left" vertical="top" wrapText="1"/>
    </xf>
    <xf numFmtId="164" fontId="81" fillId="11" borderId="0" xfId="11" applyNumberFormat="1" applyFont="1" applyFill="1" applyBorder="1" applyAlignment="1" applyProtection="1">
      <alignment horizontal="center"/>
    </xf>
    <xf numFmtId="0" fontId="101" fillId="11" borderId="12" xfId="0" applyFont="1" applyFill="1" applyBorder="1" applyAlignment="1" applyProtection="1">
      <alignment horizontal="center" vertical="center"/>
    </xf>
    <xf numFmtId="0" fontId="101" fillId="11" borderId="0" xfId="0" applyFont="1" applyFill="1" applyBorder="1" applyAlignment="1" applyProtection="1">
      <alignment horizontal="center" vertical="center"/>
    </xf>
    <xf numFmtId="0" fontId="101" fillId="11" borderId="10" xfId="0" applyFont="1" applyFill="1" applyBorder="1" applyAlignment="1" applyProtection="1">
      <alignment horizontal="center" vertical="center"/>
    </xf>
    <xf numFmtId="0" fontId="3" fillId="11" borderId="75" xfId="11" applyFont="1" applyFill="1" applyBorder="1" applyAlignment="1" applyProtection="1">
      <alignment horizontal="center" vertical="center"/>
      <protection locked="0"/>
    </xf>
    <xf numFmtId="0" fontId="2" fillId="11" borderId="0" xfId="11" applyFont="1" applyFill="1" applyBorder="1" applyAlignment="1" applyProtection="1">
      <alignment horizontal="center" vertical="center"/>
      <protection locked="0"/>
    </xf>
    <xf numFmtId="0" fontId="2" fillId="11" borderId="76" xfId="11" applyFont="1" applyFill="1" applyBorder="1" applyAlignment="1" applyProtection="1">
      <alignment horizontal="center" vertical="center"/>
      <protection locked="0"/>
    </xf>
    <xf numFmtId="0" fontId="2" fillId="11" borderId="75" xfId="11" applyFont="1" applyFill="1" applyBorder="1" applyAlignment="1" applyProtection="1">
      <alignment horizontal="center" vertical="center"/>
      <protection locked="0"/>
    </xf>
    <xf numFmtId="37" fontId="81" fillId="11" borderId="0" xfId="11" applyNumberFormat="1" applyFont="1" applyFill="1" applyBorder="1" applyAlignment="1" applyProtection="1">
      <alignment horizontal="right" wrapText="1"/>
      <protection locked="0"/>
    </xf>
    <xf numFmtId="37" fontId="81" fillId="11" borderId="3" xfId="11" applyNumberFormat="1" applyFont="1" applyFill="1" applyBorder="1" applyAlignment="1" applyProtection="1">
      <alignment horizontal="right" wrapText="1"/>
      <protection locked="0"/>
    </xf>
    <xf numFmtId="0" fontId="83" fillId="11" borderId="0" xfId="11" applyFont="1" applyFill="1" applyBorder="1" applyAlignment="1" applyProtection="1">
      <alignment horizontal="left" wrapText="1"/>
      <protection locked="0"/>
    </xf>
    <xf numFmtId="0" fontId="1" fillId="0" borderId="11" xfId="8" applyFont="1" applyFill="1" applyBorder="1" applyAlignment="1" applyProtection="1">
      <alignment horizontal="left" vertical="top" wrapText="1"/>
      <protection locked="0"/>
    </xf>
    <xf numFmtId="0" fontId="1" fillId="0" borderId="4" xfId="8" applyFont="1" applyFill="1" applyBorder="1" applyAlignment="1" applyProtection="1">
      <alignment horizontal="left" vertical="top" wrapText="1"/>
      <protection locked="0"/>
    </xf>
    <xf numFmtId="0" fontId="1" fillId="0" borderId="20" xfId="8" applyFont="1" applyFill="1" applyBorder="1" applyAlignment="1" applyProtection="1">
      <alignment horizontal="left" vertical="top" wrapText="1"/>
      <protection locked="0"/>
    </xf>
    <xf numFmtId="0" fontId="1" fillId="0" borderId="12" xfId="8" applyFont="1" applyFill="1" applyBorder="1" applyAlignment="1" applyProtection="1">
      <alignment horizontal="left" vertical="top" wrapText="1"/>
      <protection locked="0"/>
    </xf>
    <xf numFmtId="0" fontId="1" fillId="0" borderId="0" xfId="8" applyFont="1" applyFill="1" applyBorder="1" applyAlignment="1" applyProtection="1">
      <alignment horizontal="left" vertical="top" wrapText="1"/>
      <protection locked="0"/>
    </xf>
    <xf numFmtId="0" fontId="1" fillId="0" borderId="10" xfId="8" applyFont="1" applyFill="1" applyBorder="1" applyAlignment="1" applyProtection="1">
      <alignment horizontal="left" vertical="top" wrapText="1"/>
      <protection locked="0"/>
    </xf>
    <xf numFmtId="0" fontId="1" fillId="0" borderId="13" xfId="8" applyFont="1" applyFill="1" applyBorder="1" applyAlignment="1" applyProtection="1">
      <alignment horizontal="left" vertical="top" wrapText="1"/>
      <protection locked="0"/>
    </xf>
    <xf numFmtId="0" fontId="1" fillId="0" borderId="3" xfId="8" applyFont="1" applyFill="1" applyBorder="1" applyAlignment="1" applyProtection="1">
      <alignment horizontal="left" vertical="top" wrapText="1"/>
      <protection locked="0"/>
    </xf>
    <xf numFmtId="0" fontId="1" fillId="0" borderId="21" xfId="8" applyFont="1" applyFill="1" applyBorder="1" applyAlignment="1" applyProtection="1">
      <alignment horizontal="left" vertical="top" wrapText="1"/>
      <protection locked="0"/>
    </xf>
    <xf numFmtId="0" fontId="3" fillId="7" borderId="0" xfId="11" applyFont="1" applyFill="1" applyAlignment="1" applyProtection="1">
      <alignment horizontal="center"/>
    </xf>
    <xf numFmtId="0" fontId="3" fillId="7" borderId="0" xfId="8" applyFont="1" applyFill="1" applyAlignment="1" applyProtection="1"/>
    <xf numFmtId="0" fontId="3" fillId="7" borderId="0" xfId="11" applyFont="1" applyFill="1" applyAlignment="1" applyProtection="1">
      <alignment horizontal="center" vertical="center"/>
    </xf>
    <xf numFmtId="0" fontId="3" fillId="7" borderId="0" xfId="8" applyFont="1" applyFill="1" applyAlignment="1" applyProtection="1">
      <alignment vertical="center"/>
    </xf>
    <xf numFmtId="0" fontId="3" fillId="11" borderId="12" xfId="8" applyFont="1" applyFill="1" applyBorder="1" applyAlignment="1" applyProtection="1">
      <alignment horizontal="center" vertical="center"/>
      <protection locked="0"/>
    </xf>
    <xf numFmtId="0" fontId="3" fillId="11" borderId="0" xfId="8" applyFont="1" applyFill="1" applyBorder="1" applyAlignment="1" applyProtection="1">
      <alignment horizontal="center" vertical="center"/>
      <protection locked="0"/>
    </xf>
    <xf numFmtId="0" fontId="3" fillId="11" borderId="10" xfId="8" applyFont="1" applyFill="1" applyBorder="1" applyAlignment="1" applyProtection="1">
      <alignment horizontal="center" vertical="center"/>
      <protection locked="0"/>
    </xf>
    <xf numFmtId="0" fontId="60" fillId="7" borderId="0" xfId="8" applyFont="1" applyFill="1" applyAlignment="1" applyProtection="1">
      <alignment horizontal="center"/>
    </xf>
    <xf numFmtId="0" fontId="46" fillId="7" borderId="0" xfId="8" applyNumberFormat="1" applyFont="1" applyFill="1" applyBorder="1" applyAlignment="1" applyProtection="1">
      <alignment horizontal="center" vertical="center"/>
    </xf>
    <xf numFmtId="0" fontId="16" fillId="7" borderId="0" xfId="8" applyFont="1" applyFill="1" applyBorder="1" applyAlignment="1" applyProtection="1">
      <alignment horizontal="center" vertical="center"/>
      <protection locked="0"/>
    </xf>
    <xf numFmtId="0" fontId="15" fillId="7" borderId="0" xfId="8" applyFont="1" applyFill="1" applyBorder="1" applyAlignment="1" applyProtection="1">
      <alignment horizontal="center"/>
    </xf>
    <xf numFmtId="0" fontId="16" fillId="10" borderId="12" xfId="8" applyFont="1" applyFill="1" applyBorder="1" applyAlignment="1" applyProtection="1">
      <alignment horizontal="center" vertical="center"/>
      <protection locked="0"/>
    </xf>
    <xf numFmtId="0" fontId="16" fillId="10" borderId="0" xfId="8" applyFont="1" applyFill="1" applyBorder="1" applyAlignment="1" applyProtection="1">
      <alignment horizontal="center" vertical="center"/>
      <protection locked="0"/>
    </xf>
    <xf numFmtId="0" fontId="16" fillId="10" borderId="10" xfId="8" applyFont="1" applyFill="1" applyBorder="1" applyAlignment="1" applyProtection="1">
      <alignment horizontal="center" vertical="center"/>
      <protection locked="0"/>
    </xf>
    <xf numFmtId="5" fontId="45" fillId="10" borderId="3" xfId="8" applyNumberFormat="1" applyFont="1" applyFill="1" applyBorder="1" applyAlignment="1" applyProtection="1">
      <alignment horizontal="right"/>
    </xf>
    <xf numFmtId="5" fontId="45" fillId="10" borderId="0" xfId="8" applyNumberFormat="1" applyFont="1" applyFill="1" applyBorder="1" applyAlignment="1" applyProtection="1">
      <alignment horizontal="right"/>
    </xf>
    <xf numFmtId="37" fontId="45" fillId="10" borderId="12" xfId="8" applyNumberFormat="1" applyFont="1" applyFill="1" applyBorder="1" applyAlignment="1" applyProtection="1">
      <alignment horizontal="center"/>
    </xf>
    <xf numFmtId="37" fontId="45" fillId="10" borderId="0" xfId="8" applyNumberFormat="1" applyFont="1" applyFill="1" applyBorder="1" applyAlignment="1" applyProtection="1">
      <alignment horizontal="center"/>
    </xf>
    <xf numFmtId="37" fontId="14" fillId="10" borderId="0" xfId="8" applyNumberFormat="1" applyFont="1" applyFill="1" applyBorder="1" applyAlignment="1" applyProtection="1">
      <alignment horizontal="center"/>
      <protection locked="0"/>
    </xf>
    <xf numFmtId="37" fontId="14" fillId="10" borderId="3" xfId="8" applyNumberFormat="1" applyFont="1" applyFill="1" applyBorder="1" applyAlignment="1" applyProtection="1">
      <alignment horizontal="center"/>
      <protection locked="0"/>
    </xf>
    <xf numFmtId="0" fontId="3" fillId="10" borderId="65" xfId="8" applyFont="1" applyFill="1" applyBorder="1" applyAlignment="1" applyProtection="1">
      <alignment horizontal="left" wrapText="1"/>
      <protection locked="0"/>
    </xf>
    <xf numFmtId="0" fontId="3" fillId="10" borderId="67" xfId="8" applyFont="1" applyFill="1" applyBorder="1" applyAlignment="1" applyProtection="1">
      <alignment horizontal="center" vertical="center"/>
      <protection locked="0"/>
    </xf>
    <xf numFmtId="0" fontId="3" fillId="10" borderId="0" xfId="8" applyFont="1" applyFill="1" applyBorder="1" applyAlignment="1" applyProtection="1">
      <alignment horizontal="center" vertical="center"/>
      <protection locked="0"/>
    </xf>
    <xf numFmtId="0" fontId="3" fillId="10" borderId="68" xfId="8" applyFont="1" applyFill="1" applyBorder="1" applyAlignment="1" applyProtection="1">
      <alignment horizontal="center" vertical="center"/>
      <protection locked="0"/>
    </xf>
    <xf numFmtId="37" fontId="45" fillId="10" borderId="2" xfId="8" applyNumberFormat="1" applyFont="1" applyFill="1" applyBorder="1" applyAlignment="1" applyProtection="1">
      <alignment horizontal="center"/>
    </xf>
    <xf numFmtId="5" fontId="45" fillId="8" borderId="18" xfId="8" applyNumberFormat="1" applyFont="1" applyFill="1" applyBorder="1" applyAlignment="1" applyProtection="1">
      <alignment horizontal="right"/>
      <protection locked="0"/>
    </xf>
    <xf numFmtId="5" fontId="45" fillId="8" borderId="19" xfId="8" applyNumberFormat="1" applyFont="1" applyFill="1" applyBorder="1" applyAlignment="1" applyProtection="1">
      <alignment horizontal="right"/>
      <protection locked="0"/>
    </xf>
    <xf numFmtId="5" fontId="45" fillId="10" borderId="2" xfId="8" applyNumberFormat="1" applyFont="1" applyFill="1" applyBorder="1" applyAlignment="1" applyProtection="1">
      <alignment horizontal="right"/>
    </xf>
    <xf numFmtId="37" fontId="45" fillId="10" borderId="13" xfId="8" applyNumberFormat="1" applyFont="1" applyFill="1" applyBorder="1" applyAlignment="1" applyProtection="1">
      <alignment horizontal="center"/>
    </xf>
    <xf numFmtId="37" fontId="45" fillId="10" borderId="3" xfId="8" applyNumberFormat="1" applyFont="1" applyFill="1" applyBorder="1" applyAlignment="1" applyProtection="1">
      <alignment horizontal="center"/>
    </xf>
    <xf numFmtId="0" fontId="14" fillId="10" borderId="3" xfId="8" applyFont="1" applyFill="1" applyBorder="1" applyAlignment="1" applyProtection="1">
      <alignment horizontal="center"/>
      <protection locked="0"/>
    </xf>
    <xf numFmtId="0" fontId="45" fillId="10" borderId="18" xfId="8" applyFont="1" applyFill="1" applyBorder="1" applyAlignment="1" applyProtection="1">
      <alignment horizontal="left"/>
    </xf>
    <xf numFmtId="0" fontId="45" fillId="10" borderId="17" xfId="8" applyFont="1" applyFill="1" applyBorder="1" applyAlignment="1" applyProtection="1">
      <alignment horizontal="left"/>
    </xf>
    <xf numFmtId="0" fontId="45" fillId="10" borderId="19" xfId="8" applyFont="1" applyFill="1" applyBorder="1" applyAlignment="1" applyProtection="1">
      <alignment horizontal="left"/>
    </xf>
    <xf numFmtId="0" fontId="45" fillId="10" borderId="18" xfId="8" applyFont="1" applyFill="1" applyBorder="1" applyAlignment="1" applyProtection="1">
      <alignment horizontal="left"/>
      <protection locked="0"/>
    </xf>
    <xf numFmtId="0" fontId="45" fillId="10" borderId="17" xfId="8" applyFont="1" applyFill="1" applyBorder="1" applyAlignment="1" applyProtection="1">
      <alignment horizontal="left"/>
      <protection locked="0"/>
    </xf>
    <xf numFmtId="0" fontId="45" fillId="10" borderId="19" xfId="8" applyFont="1" applyFill="1" applyBorder="1" applyAlignment="1" applyProtection="1">
      <alignment horizontal="left"/>
      <protection locked="0"/>
    </xf>
    <xf numFmtId="0" fontId="3" fillId="7" borderId="0" xfId="8" applyNumberFormat="1" applyFont="1" applyFill="1" applyAlignment="1" applyProtection="1">
      <alignment horizontal="center"/>
    </xf>
    <xf numFmtId="0" fontId="1" fillId="7" borderId="0" xfId="8" applyFont="1" applyFill="1" applyAlignment="1" applyProtection="1">
      <protection locked="0"/>
    </xf>
    <xf numFmtId="37" fontId="1" fillId="7" borderId="0" xfId="8" applyNumberFormat="1" applyFont="1" applyFill="1" applyBorder="1" applyAlignment="1" applyProtection="1">
      <alignment horizontal="center"/>
    </xf>
    <xf numFmtId="0" fontId="1" fillId="7" borderId="0" xfId="8" applyFont="1" applyFill="1" applyBorder="1" applyAlignment="1" applyProtection="1"/>
    <xf numFmtId="0" fontId="2" fillId="0" borderId="11" xfId="8" applyFont="1" applyFill="1" applyBorder="1" applyAlignment="1" applyProtection="1">
      <alignment horizontal="left" vertical="top" wrapText="1"/>
      <protection locked="0"/>
    </xf>
    <xf numFmtId="0" fontId="2" fillId="0" borderId="4" xfId="8" applyFont="1" applyFill="1" applyBorder="1" applyAlignment="1" applyProtection="1">
      <alignment horizontal="left" vertical="top" wrapText="1"/>
      <protection locked="0"/>
    </xf>
    <xf numFmtId="0" fontId="2" fillId="0" borderId="20" xfId="8" applyFont="1" applyFill="1" applyBorder="1" applyAlignment="1" applyProtection="1">
      <alignment horizontal="left" vertical="top" wrapText="1"/>
      <protection locked="0"/>
    </xf>
    <xf numFmtId="0" fontId="2" fillId="0" borderId="12" xfId="8" applyFont="1" applyFill="1" applyBorder="1" applyAlignment="1" applyProtection="1">
      <alignment horizontal="left" vertical="top" wrapText="1"/>
      <protection locked="0"/>
    </xf>
    <xf numFmtId="0" fontId="2" fillId="0" borderId="0" xfId="8" applyFont="1" applyFill="1" applyBorder="1" applyAlignment="1" applyProtection="1">
      <alignment horizontal="left" vertical="top" wrapText="1"/>
      <protection locked="0"/>
    </xf>
    <xf numFmtId="0" fontId="2" fillId="0" borderId="10" xfId="8" applyFont="1" applyFill="1" applyBorder="1" applyAlignment="1" applyProtection="1">
      <alignment horizontal="left" vertical="top" wrapText="1"/>
      <protection locked="0"/>
    </xf>
    <xf numFmtId="0" fontId="2" fillId="0" borderId="13" xfId="8" applyFont="1" applyFill="1" applyBorder="1" applyAlignment="1" applyProtection="1">
      <alignment horizontal="left" vertical="top" wrapText="1"/>
      <protection locked="0"/>
    </xf>
    <xf numFmtId="0" fontId="2" fillId="0" borderId="3" xfId="8" applyFont="1" applyFill="1" applyBorder="1" applyAlignment="1" applyProtection="1">
      <alignment horizontal="left" vertical="top" wrapText="1"/>
      <protection locked="0"/>
    </xf>
    <xf numFmtId="0" fontId="2" fillId="0" borderId="21" xfId="8" applyFont="1" applyFill="1" applyBorder="1" applyAlignment="1" applyProtection="1">
      <alignment horizontal="left" vertical="top" wrapText="1"/>
      <protection locked="0"/>
    </xf>
    <xf numFmtId="0" fontId="3" fillId="10" borderId="3" xfId="8" applyFont="1" applyFill="1" applyBorder="1" applyAlignment="1" applyProtection="1">
      <alignment horizontal="center" vertical="center"/>
      <protection locked="0"/>
    </xf>
    <xf numFmtId="0" fontId="3" fillId="7" borderId="0" xfId="8" applyNumberFormat="1" applyFont="1" applyFill="1" applyBorder="1" applyAlignment="1" applyProtection="1">
      <alignment horizontal="center"/>
    </xf>
    <xf numFmtId="0" fontId="3" fillId="7" borderId="0" xfId="8" applyFont="1" applyFill="1" applyBorder="1" applyAlignment="1" applyProtection="1">
      <alignment horizontal="center"/>
    </xf>
    <xf numFmtId="37" fontId="1" fillId="7" borderId="70" xfId="8" applyNumberFormat="1" applyFont="1" applyFill="1" applyBorder="1" applyAlignment="1" applyProtection="1">
      <alignment horizontal="center"/>
    </xf>
    <xf numFmtId="0" fontId="3" fillId="7" borderId="0" xfId="11" applyNumberFormat="1" applyFont="1" applyFill="1" applyAlignment="1" applyProtection="1">
      <alignment horizontal="center"/>
    </xf>
    <xf numFmtId="5" fontId="3" fillId="7" borderId="0" xfId="11" applyNumberFormat="1" applyFont="1" applyFill="1" applyBorder="1" applyAlignment="1" applyProtection="1">
      <alignment horizontal="center"/>
      <protection locked="0"/>
    </xf>
    <xf numFmtId="37" fontId="1" fillId="7" borderId="70" xfId="11" applyNumberFormat="1" applyFont="1" applyFill="1" applyBorder="1" applyAlignment="1" applyProtection="1">
      <alignment horizontal="center"/>
    </xf>
    <xf numFmtId="0" fontId="3" fillId="10" borderId="67" xfId="11" applyFont="1" applyFill="1" applyBorder="1" applyAlignment="1" applyProtection="1">
      <alignment horizontal="center" vertical="center"/>
      <protection locked="0"/>
    </xf>
    <xf numFmtId="0" fontId="3" fillId="10" borderId="68" xfId="11" applyFont="1" applyFill="1" applyBorder="1" applyAlignment="1" applyProtection="1">
      <alignment horizontal="center" vertical="center"/>
      <protection locked="0"/>
    </xf>
    <xf numFmtId="0" fontId="1" fillId="0" borderId="4" xfId="11" applyFont="1" applyFill="1" applyBorder="1" applyAlignment="1" applyProtection="1">
      <alignment horizontal="left" vertical="top" wrapText="1"/>
      <protection locked="0"/>
    </xf>
    <xf numFmtId="0" fontId="1" fillId="0" borderId="20" xfId="11" applyFont="1" applyFill="1" applyBorder="1" applyAlignment="1" applyProtection="1">
      <alignment horizontal="left" vertical="top" wrapText="1"/>
      <protection locked="0"/>
    </xf>
    <xf numFmtId="0" fontId="1" fillId="0" borderId="12" xfId="11" applyFont="1" applyFill="1" applyBorder="1" applyAlignment="1" applyProtection="1">
      <alignment horizontal="left" vertical="top" wrapText="1"/>
      <protection locked="0"/>
    </xf>
    <xf numFmtId="0" fontId="1" fillId="0" borderId="0" xfId="11" applyFont="1" applyFill="1" applyBorder="1" applyAlignment="1" applyProtection="1">
      <alignment horizontal="left" vertical="top" wrapText="1"/>
      <protection locked="0"/>
    </xf>
    <xf numFmtId="0" fontId="1" fillId="0" borderId="10" xfId="11" applyFont="1" applyFill="1" applyBorder="1" applyAlignment="1" applyProtection="1">
      <alignment horizontal="left" vertical="top" wrapText="1"/>
      <protection locked="0"/>
    </xf>
    <xf numFmtId="0" fontId="1" fillId="0" borderId="13" xfId="11" applyFont="1" applyFill="1" applyBorder="1" applyAlignment="1" applyProtection="1">
      <alignment horizontal="left" vertical="top" wrapText="1"/>
      <protection locked="0"/>
    </xf>
    <xf numFmtId="0" fontId="1" fillId="0" borderId="3" xfId="11" applyFont="1" applyFill="1" applyBorder="1" applyAlignment="1" applyProtection="1">
      <alignment horizontal="left" vertical="top" wrapText="1"/>
      <protection locked="0"/>
    </xf>
    <xf numFmtId="0" fontId="1" fillId="0" borderId="21" xfId="11" applyFont="1" applyFill="1" applyBorder="1" applyAlignment="1" applyProtection="1">
      <alignment horizontal="left" vertical="top" wrapText="1"/>
      <protection locked="0"/>
    </xf>
    <xf numFmtId="0" fontId="3" fillId="10" borderId="65" xfId="11" applyFont="1" applyFill="1" applyBorder="1" applyAlignment="1" applyProtection="1">
      <alignment horizontal="left" wrapText="1"/>
      <protection locked="0"/>
    </xf>
    <xf numFmtId="37" fontId="1" fillId="7" borderId="0" xfId="11" applyNumberFormat="1" applyFont="1" applyFill="1" applyBorder="1" applyAlignment="1" applyProtection="1">
      <alignment horizontal="center"/>
    </xf>
    <xf numFmtId="0" fontId="3" fillId="0" borderId="11" xfId="11" applyFont="1" applyFill="1" applyBorder="1" applyAlignment="1" applyProtection="1">
      <alignment horizontal="left" vertical="top" wrapText="1"/>
      <protection locked="0"/>
    </xf>
    <xf numFmtId="0" fontId="3" fillId="0" borderId="4" xfId="11" applyFont="1" applyFill="1" applyBorder="1" applyAlignment="1" applyProtection="1">
      <alignment horizontal="left" vertical="top" wrapText="1"/>
      <protection locked="0"/>
    </xf>
    <xf numFmtId="0" fontId="3" fillId="0" borderId="20" xfId="11" applyFont="1" applyFill="1" applyBorder="1" applyAlignment="1" applyProtection="1">
      <alignment horizontal="left" vertical="top" wrapText="1"/>
      <protection locked="0"/>
    </xf>
    <xf numFmtId="0" fontId="3" fillId="0" borderId="12" xfId="11" applyFont="1" applyFill="1" applyBorder="1" applyAlignment="1" applyProtection="1">
      <alignment horizontal="left" vertical="top" wrapText="1"/>
      <protection locked="0"/>
    </xf>
    <xf numFmtId="0" fontId="3" fillId="0" borderId="0" xfId="11" applyFont="1" applyFill="1" applyBorder="1" applyAlignment="1" applyProtection="1">
      <alignment horizontal="left" vertical="top" wrapText="1"/>
      <protection locked="0"/>
    </xf>
    <xf numFmtId="0" fontId="3" fillId="0" borderId="10" xfId="11" applyFont="1" applyFill="1" applyBorder="1" applyAlignment="1" applyProtection="1">
      <alignment horizontal="left" vertical="top" wrapText="1"/>
      <protection locked="0"/>
    </xf>
    <xf numFmtId="0" fontId="3" fillId="0" borderId="13" xfId="11" applyFont="1" applyFill="1" applyBorder="1" applyAlignment="1" applyProtection="1">
      <alignment horizontal="left" vertical="top" wrapText="1"/>
      <protection locked="0"/>
    </xf>
    <xf numFmtId="0" fontId="3" fillId="0" borderId="3" xfId="11" applyFont="1" applyFill="1" applyBorder="1" applyAlignment="1" applyProtection="1">
      <alignment horizontal="left" vertical="top" wrapText="1"/>
      <protection locked="0"/>
    </xf>
    <xf numFmtId="0" fontId="3" fillId="0" borderId="21" xfId="11" applyFont="1" applyFill="1" applyBorder="1" applyAlignment="1" applyProtection="1">
      <alignment horizontal="left" vertical="top" wrapText="1"/>
      <protection locked="0"/>
    </xf>
    <xf numFmtId="0" fontId="3" fillId="10" borderId="0" xfId="11" applyFont="1" applyFill="1" applyBorder="1" applyAlignment="1" applyProtection="1">
      <alignment horizontal="left" wrapText="1"/>
      <protection locked="0"/>
    </xf>
    <xf numFmtId="0" fontId="57" fillId="7" borderId="0" xfId="11" applyFont="1" applyFill="1" applyAlignment="1" applyProtection="1">
      <alignment horizontal="center" vertical="center" wrapText="1"/>
      <protection locked="0"/>
    </xf>
    <xf numFmtId="0" fontId="3" fillId="7" borderId="0" xfId="11" applyNumberFormat="1" applyFont="1" applyFill="1" applyAlignment="1" applyProtection="1">
      <alignment horizontal="center" vertical="center"/>
      <protection locked="0"/>
    </xf>
    <xf numFmtId="0" fontId="3" fillId="7" borderId="0" xfId="11" applyFont="1" applyFill="1" applyAlignment="1" applyProtection="1">
      <alignment horizontal="center"/>
      <protection locked="0"/>
    </xf>
    <xf numFmtId="37" fontId="1" fillId="7" borderId="0" xfId="11" applyNumberFormat="1" applyFont="1" applyFill="1" applyBorder="1" applyAlignment="1" applyProtection="1">
      <alignment horizontal="center"/>
      <protection locked="0"/>
    </xf>
    <xf numFmtId="0" fontId="1" fillId="8" borderId="11" xfId="11" applyFont="1" applyFill="1" applyBorder="1" applyAlignment="1" applyProtection="1">
      <alignment horizontal="center"/>
      <protection locked="0"/>
    </xf>
    <xf numFmtId="0" fontId="1" fillId="8" borderId="4" xfId="11" applyFont="1" applyFill="1" applyBorder="1" applyAlignment="1" applyProtection="1">
      <alignment horizontal="center"/>
      <protection locked="0"/>
    </xf>
    <xf numFmtId="0" fontId="1" fillId="8" borderId="20" xfId="11" applyFont="1" applyFill="1" applyBorder="1" applyAlignment="1" applyProtection="1">
      <alignment horizontal="center"/>
      <protection locked="0"/>
    </xf>
    <xf numFmtId="0" fontId="1" fillId="8" borderId="12" xfId="11" applyFont="1" applyFill="1" applyBorder="1" applyAlignment="1" applyProtection="1">
      <alignment horizontal="center"/>
      <protection locked="0"/>
    </xf>
    <xf numFmtId="0" fontId="1" fillId="8" borderId="0" xfId="11" applyFont="1" applyFill="1" applyBorder="1" applyAlignment="1" applyProtection="1">
      <alignment horizontal="center"/>
      <protection locked="0"/>
    </xf>
    <xf numFmtId="0" fontId="1" fillId="8" borderId="10" xfId="11" applyFont="1" applyFill="1" applyBorder="1" applyAlignment="1" applyProtection="1">
      <alignment horizontal="center"/>
      <protection locked="0"/>
    </xf>
    <xf numFmtId="0" fontId="1" fillId="8" borderId="13" xfId="11" applyFont="1" applyFill="1" applyBorder="1" applyAlignment="1" applyProtection="1">
      <alignment horizontal="center"/>
      <protection locked="0"/>
    </xf>
    <xf numFmtId="0" fontId="1" fillId="8" borderId="3" xfId="11" applyFont="1" applyFill="1" applyBorder="1" applyAlignment="1" applyProtection="1">
      <alignment horizontal="center"/>
      <protection locked="0"/>
    </xf>
    <xf numFmtId="0" fontId="1" fillId="8" borderId="21" xfId="11" applyFont="1" applyFill="1" applyBorder="1" applyAlignment="1" applyProtection="1">
      <alignment horizontal="center"/>
      <protection locked="0"/>
    </xf>
    <xf numFmtId="0" fontId="3" fillId="10" borderId="3" xfId="11" applyFont="1" applyFill="1" applyBorder="1" applyAlignment="1" applyProtection="1">
      <alignment horizontal="center" vertical="center"/>
      <protection locked="0"/>
    </xf>
    <xf numFmtId="0" fontId="3" fillId="10" borderId="99" xfId="11" applyFont="1" applyFill="1" applyBorder="1" applyAlignment="1" applyProtection="1">
      <alignment horizontal="center" vertical="center"/>
      <protection locked="0"/>
    </xf>
    <xf numFmtId="0" fontId="2" fillId="10" borderId="100" xfId="11" applyFont="1" applyFill="1" applyBorder="1" applyAlignment="1" applyProtection="1">
      <alignment horizontal="center" vertical="center"/>
      <protection locked="0"/>
    </xf>
    <xf numFmtId="0" fontId="2" fillId="10" borderId="101" xfId="11" applyFont="1" applyFill="1" applyBorder="1" applyAlignment="1" applyProtection="1">
      <alignment horizontal="center" vertical="center"/>
      <protection locked="0"/>
    </xf>
    <xf numFmtId="0" fontId="2" fillId="10" borderId="85" xfId="11" applyFont="1" applyFill="1" applyBorder="1" applyAlignment="1" applyProtection="1">
      <alignment horizontal="center" vertical="center"/>
      <protection locked="0"/>
    </xf>
    <xf numFmtId="0" fontId="2" fillId="10" borderId="0" xfId="11" applyFont="1" applyFill="1" applyBorder="1" applyAlignment="1" applyProtection="1">
      <alignment horizontal="center" vertical="center"/>
      <protection locked="0"/>
    </xf>
    <xf numFmtId="0" fontId="2" fillId="10" borderId="86" xfId="11" applyFont="1" applyFill="1" applyBorder="1" applyAlignment="1" applyProtection="1">
      <alignment horizontal="center" vertical="center"/>
      <protection locked="0"/>
    </xf>
    <xf numFmtId="0" fontId="1" fillId="8" borderId="99" xfId="11" applyFont="1" applyFill="1" applyBorder="1" applyAlignment="1" applyProtection="1">
      <alignment horizontal="left" vertical="top" wrapText="1"/>
      <protection locked="0"/>
    </xf>
    <xf numFmtId="0" fontId="2" fillId="8" borderId="100" xfId="11" applyFont="1" applyFill="1" applyBorder="1" applyAlignment="1" applyProtection="1">
      <alignment horizontal="left" vertical="top" wrapText="1"/>
      <protection locked="0"/>
    </xf>
    <xf numFmtId="0" fontId="2" fillId="8" borderId="101" xfId="11" applyFont="1" applyFill="1" applyBorder="1" applyAlignment="1" applyProtection="1">
      <alignment horizontal="left" vertical="top" wrapText="1"/>
      <protection locked="0"/>
    </xf>
    <xf numFmtId="0" fontId="2" fillId="8" borderId="85" xfId="11" applyFont="1" applyFill="1" applyBorder="1" applyAlignment="1" applyProtection="1">
      <alignment horizontal="left" vertical="top" wrapText="1"/>
      <protection locked="0"/>
    </xf>
    <xf numFmtId="0" fontId="2" fillId="8" borderId="0" xfId="11" applyFont="1" applyFill="1" applyBorder="1" applyAlignment="1" applyProtection="1">
      <alignment horizontal="left" vertical="top" wrapText="1"/>
      <protection locked="0"/>
    </xf>
    <xf numFmtId="0" fontId="2" fillId="8" borderId="86" xfId="11" applyFont="1" applyFill="1" applyBorder="1" applyAlignment="1" applyProtection="1">
      <alignment horizontal="left" vertical="top" wrapText="1"/>
      <protection locked="0"/>
    </xf>
    <xf numFmtId="0" fontId="2" fillId="8" borderId="87" xfId="11" applyFont="1" applyFill="1" applyBorder="1" applyAlignment="1" applyProtection="1">
      <alignment horizontal="left" vertical="top" wrapText="1"/>
      <protection locked="0"/>
    </xf>
    <xf numFmtId="0" fontId="2" fillId="8" borderId="88" xfId="11" applyFont="1" applyFill="1" applyBorder="1" applyAlignment="1" applyProtection="1">
      <alignment horizontal="left" vertical="top" wrapText="1"/>
      <protection locked="0"/>
    </xf>
    <xf numFmtId="0" fontId="2" fillId="8" borderId="89" xfId="11" applyFont="1" applyFill="1" applyBorder="1" applyAlignment="1" applyProtection="1">
      <alignment horizontal="left" vertical="top" wrapText="1"/>
      <protection locked="0"/>
    </xf>
    <xf numFmtId="0" fontId="1" fillId="7" borderId="0" xfId="11" applyFont="1" applyFill="1" applyAlignment="1" applyProtection="1">
      <alignment horizontal="center"/>
      <protection hidden="1"/>
    </xf>
    <xf numFmtId="5" fontId="3" fillId="7" borderId="0" xfId="11" applyNumberFormat="1" applyFont="1" applyFill="1" applyAlignment="1" applyProtection="1">
      <alignment horizontal="center"/>
      <protection hidden="1"/>
    </xf>
    <xf numFmtId="0" fontId="3" fillId="7" borderId="0" xfId="9" applyFont="1" applyFill="1" applyAlignment="1" applyProtection="1">
      <alignment horizontal="center"/>
      <protection hidden="1"/>
    </xf>
    <xf numFmtId="0" fontId="3" fillId="7" borderId="0" xfId="11" applyFont="1" applyFill="1" applyAlignment="1" applyProtection="1">
      <alignment horizontal="center"/>
      <protection hidden="1"/>
    </xf>
    <xf numFmtId="37" fontId="1" fillId="7" borderId="0" xfId="11" applyNumberFormat="1" applyFont="1" applyFill="1" applyAlignment="1" applyProtection="1">
      <alignment horizontal="center"/>
      <protection hidden="1"/>
    </xf>
    <xf numFmtId="0" fontId="1" fillId="7" borderId="0" xfId="9" applyFont="1" applyFill="1" applyAlignment="1" applyProtection="1">
      <alignment horizontal="center"/>
      <protection hidden="1"/>
    </xf>
    <xf numFmtId="0" fontId="3" fillId="7" borderId="0" xfId="9" applyFont="1" applyFill="1" applyAlignment="1" applyProtection="1">
      <protection hidden="1"/>
    </xf>
    <xf numFmtId="0" fontId="3" fillId="10" borderId="0" xfId="11" applyFont="1" applyFill="1" applyBorder="1" applyAlignment="1" applyProtection="1">
      <alignment horizontal="left"/>
      <protection locked="0" hidden="1"/>
    </xf>
    <xf numFmtId="0" fontId="2" fillId="8" borderId="99" xfId="11" applyFont="1" applyFill="1" applyBorder="1" applyAlignment="1" applyProtection="1">
      <alignment horizontal="left" vertical="top" wrapText="1"/>
      <protection locked="0"/>
    </xf>
    <xf numFmtId="0" fontId="1" fillId="7" borderId="0" xfId="11" applyFont="1" applyFill="1" applyAlignment="1" applyProtection="1">
      <alignment horizontal="center"/>
      <protection locked="0" hidden="1"/>
    </xf>
    <xf numFmtId="0" fontId="1" fillId="7" borderId="0" xfId="9" applyFont="1" applyFill="1" applyAlignment="1" applyProtection="1">
      <protection locked="0" hidden="1"/>
    </xf>
    <xf numFmtId="0" fontId="3" fillId="10" borderId="65" xfId="11" applyFont="1" applyFill="1" applyBorder="1" applyAlignment="1" applyProtection="1">
      <alignment horizontal="center"/>
      <protection locked="0" hidden="1"/>
    </xf>
    <xf numFmtId="0" fontId="3" fillId="10" borderId="65" xfId="9" applyFont="1" applyFill="1" applyBorder="1" applyAlignment="1" applyProtection="1">
      <protection locked="0" hidden="1"/>
    </xf>
    <xf numFmtId="5" fontId="3" fillId="7" borderId="0" xfId="11" applyNumberFormat="1" applyFont="1" applyFill="1" applyAlignment="1" applyProtection="1">
      <alignment horizontal="center"/>
      <protection locked="0" hidden="1"/>
    </xf>
    <xf numFmtId="0" fontId="3" fillId="7" borderId="0" xfId="9" applyFont="1" applyFill="1" applyAlignment="1" applyProtection="1">
      <alignment horizontal="center"/>
      <protection locked="0" hidden="1"/>
    </xf>
    <xf numFmtId="0" fontId="3" fillId="7" borderId="0" xfId="11" applyFont="1" applyFill="1" applyAlignment="1" applyProtection="1">
      <alignment horizontal="center"/>
      <protection locked="0" hidden="1"/>
    </xf>
    <xf numFmtId="0" fontId="3" fillId="10" borderId="65" xfId="11" applyFont="1" applyFill="1" applyBorder="1" applyAlignment="1" applyProtection="1">
      <alignment horizontal="left"/>
      <protection locked="0" hidden="1"/>
    </xf>
    <xf numFmtId="0" fontId="13" fillId="0" borderId="0" xfId="11" applyFont="1" applyFill="1" applyBorder="1" applyAlignment="1" applyProtection="1">
      <alignment horizontal="center"/>
      <protection locked="0" hidden="1"/>
    </xf>
    <xf numFmtId="0" fontId="2" fillId="0" borderId="0" xfId="9" applyFont="1" applyFill="1" applyBorder="1" applyAlignment="1" applyProtection="1">
      <protection locked="0" hidden="1"/>
    </xf>
    <xf numFmtId="5" fontId="9" fillId="0" borderId="0" xfId="11" applyNumberFormat="1" applyFont="1" applyFill="1" applyBorder="1" applyAlignment="1" applyProtection="1">
      <alignment horizontal="center"/>
      <protection locked="0"/>
    </xf>
    <xf numFmtId="0" fontId="3" fillId="0" borderId="0" xfId="9" applyFont="1" applyFill="1" applyBorder="1" applyAlignment="1" applyProtection="1">
      <alignment horizontal="center"/>
      <protection locked="0"/>
    </xf>
    <xf numFmtId="0" fontId="9" fillId="0" borderId="0" xfId="11" applyFont="1" applyFill="1" applyBorder="1" applyAlignment="1" applyProtection="1">
      <alignment horizontal="center"/>
      <protection locked="0" hidden="1"/>
    </xf>
    <xf numFmtId="0" fontId="3" fillId="10" borderId="65" xfId="11" applyFont="1" applyFill="1" applyBorder="1" applyAlignment="1" applyProtection="1">
      <alignment horizontal="center" wrapText="1"/>
    </xf>
    <xf numFmtId="0" fontId="3" fillId="10" borderId="65" xfId="8" applyFont="1" applyFill="1" applyBorder="1" applyAlignment="1" applyProtection="1">
      <alignment horizontal="center" wrapText="1"/>
    </xf>
    <xf numFmtId="0" fontId="3" fillId="10" borderId="0" xfId="8" applyFont="1" applyFill="1" applyBorder="1" applyAlignment="1" applyProtection="1">
      <alignment horizontal="center" wrapText="1"/>
    </xf>
    <xf numFmtId="0" fontId="3" fillId="10" borderId="65" xfId="8" applyFont="1" applyFill="1" applyBorder="1" applyAlignment="1" applyProtection="1">
      <alignment horizontal="center"/>
    </xf>
    <xf numFmtId="0" fontId="1" fillId="8" borderId="11" xfId="11" applyFont="1" applyFill="1" applyBorder="1" applyAlignment="1" applyProtection="1">
      <alignment horizontal="left" vertical="top" wrapText="1"/>
      <protection locked="0"/>
    </xf>
    <xf numFmtId="0" fontId="1" fillId="8" borderId="4" xfId="11" applyFont="1" applyFill="1" applyBorder="1" applyAlignment="1" applyProtection="1">
      <alignment horizontal="left" vertical="top" wrapText="1"/>
      <protection locked="0"/>
    </xf>
    <xf numFmtId="0" fontId="1" fillId="8" borderId="20" xfId="11" applyFont="1" applyFill="1" applyBorder="1" applyAlignment="1" applyProtection="1">
      <alignment horizontal="left" vertical="top" wrapText="1"/>
      <protection locked="0"/>
    </xf>
    <xf numFmtId="0" fontId="1" fillId="8" borderId="12" xfId="11" applyFont="1" applyFill="1" applyBorder="1" applyAlignment="1" applyProtection="1">
      <alignment horizontal="left" vertical="top" wrapText="1"/>
      <protection locked="0"/>
    </xf>
    <xf numFmtId="0" fontId="1" fillId="8" borderId="0" xfId="11" applyFont="1" applyFill="1" applyBorder="1" applyAlignment="1" applyProtection="1">
      <alignment horizontal="left" vertical="top" wrapText="1"/>
      <protection locked="0"/>
    </xf>
    <xf numFmtId="0" fontId="1" fillId="8" borderId="10" xfId="11" applyFont="1" applyFill="1" applyBorder="1" applyAlignment="1" applyProtection="1">
      <alignment horizontal="left" vertical="top" wrapText="1"/>
      <protection locked="0"/>
    </xf>
    <xf numFmtId="0" fontId="1" fillId="8" borderId="13" xfId="11" applyFont="1" applyFill="1" applyBorder="1" applyAlignment="1" applyProtection="1">
      <alignment horizontal="left" vertical="top" wrapText="1"/>
      <protection locked="0"/>
    </xf>
    <xf numFmtId="0" fontId="1" fillId="8" borderId="3" xfId="11" applyFont="1" applyFill="1" applyBorder="1" applyAlignment="1" applyProtection="1">
      <alignment horizontal="left" vertical="top" wrapText="1"/>
      <protection locked="0"/>
    </xf>
    <xf numFmtId="0" fontId="1" fillId="8" borderId="21" xfId="11" applyFont="1" applyFill="1" applyBorder="1" applyAlignment="1" applyProtection="1">
      <alignment horizontal="left" vertical="top" wrapText="1"/>
      <protection locked="0"/>
    </xf>
    <xf numFmtId="0" fontId="24" fillId="10" borderId="0" xfId="11" applyFont="1" applyFill="1" applyBorder="1" applyAlignment="1" applyProtection="1">
      <alignment horizontal="center"/>
    </xf>
    <xf numFmtId="0" fontId="24" fillId="10" borderId="0" xfId="8" applyFont="1" applyFill="1" applyBorder="1" applyAlignment="1" applyProtection="1"/>
    <xf numFmtId="0" fontId="1" fillId="8" borderId="4" xfId="11" applyFont="1" applyFill="1" applyBorder="1" applyAlignment="1" applyProtection="1">
      <alignment horizontal="left" vertical="top"/>
      <protection locked="0"/>
    </xf>
    <xf numFmtId="0" fontId="1" fillId="8" borderId="20" xfId="11" applyFont="1" applyFill="1" applyBorder="1" applyAlignment="1" applyProtection="1">
      <alignment horizontal="left" vertical="top"/>
      <protection locked="0"/>
    </xf>
    <xf numFmtId="0" fontId="1" fillId="8" borderId="12" xfId="11" applyFont="1" applyFill="1" applyBorder="1" applyAlignment="1" applyProtection="1">
      <alignment horizontal="left" vertical="top"/>
      <protection locked="0"/>
    </xf>
    <xf numFmtId="0" fontId="1" fillId="8" borderId="0" xfId="11" applyFont="1" applyFill="1" applyBorder="1" applyAlignment="1" applyProtection="1">
      <alignment horizontal="left" vertical="top"/>
      <protection locked="0"/>
    </xf>
    <xf numFmtId="0" fontId="1" fillId="8" borderId="10" xfId="11" applyFont="1" applyFill="1" applyBorder="1" applyAlignment="1" applyProtection="1">
      <alignment horizontal="left" vertical="top"/>
      <protection locked="0"/>
    </xf>
    <xf numFmtId="0" fontId="1" fillId="8" borderId="13" xfId="11" applyFont="1" applyFill="1" applyBorder="1" applyAlignment="1" applyProtection="1">
      <alignment horizontal="left" vertical="top"/>
      <protection locked="0"/>
    </xf>
    <xf numFmtId="0" fontId="1" fillId="8" borderId="3" xfId="11" applyFont="1" applyFill="1" applyBorder="1" applyAlignment="1" applyProtection="1">
      <alignment horizontal="left" vertical="top"/>
      <protection locked="0"/>
    </xf>
    <xf numFmtId="0" fontId="1" fillId="8" borderId="21" xfId="11" applyFont="1" applyFill="1" applyBorder="1" applyAlignment="1" applyProtection="1">
      <alignment horizontal="left" vertical="top"/>
      <protection locked="0"/>
    </xf>
    <xf numFmtId="0" fontId="3" fillId="10" borderId="0" xfId="11" applyFont="1" applyFill="1" applyBorder="1" applyAlignment="1" applyProtection="1">
      <alignment horizontal="center"/>
    </xf>
    <xf numFmtId="0" fontId="3" fillId="7" borderId="0" xfId="11" applyNumberFormat="1" applyFont="1" applyFill="1" applyAlignment="1" applyProtection="1">
      <alignment horizontal="center" wrapText="1"/>
      <protection hidden="1"/>
    </xf>
    <xf numFmtId="0" fontId="3" fillId="7" borderId="0" xfId="8" applyNumberFormat="1" applyFont="1" applyFill="1" applyAlignment="1" applyProtection="1">
      <alignment horizontal="center"/>
      <protection hidden="1"/>
    </xf>
    <xf numFmtId="0" fontId="1" fillId="7" borderId="0" xfId="11" applyFont="1" applyFill="1" applyAlignment="1" applyProtection="1">
      <alignment horizontal="center"/>
    </xf>
    <xf numFmtId="0" fontId="1" fillId="7" borderId="0" xfId="8" applyFont="1" applyFill="1" applyAlignment="1" applyProtection="1">
      <alignment horizontal="center"/>
    </xf>
    <xf numFmtId="0" fontId="3" fillId="7" borderId="0" xfId="11" applyFont="1" applyFill="1" applyBorder="1" applyAlignment="1" applyProtection="1">
      <alignment horizontal="center"/>
    </xf>
    <xf numFmtId="0" fontId="3" fillId="7" borderId="0" xfId="8" applyFont="1" applyFill="1" applyBorder="1" applyAlignment="1" applyProtection="1"/>
    <xf numFmtId="0" fontId="3" fillId="10" borderId="65" xfId="11" applyFont="1" applyFill="1" applyBorder="1" applyAlignment="1" applyProtection="1">
      <alignment horizontal="center"/>
    </xf>
    <xf numFmtId="0" fontId="3" fillId="7" borderId="0" xfId="8" applyFont="1" applyFill="1" applyAlignment="1" applyProtection="1">
      <alignment horizontal="center"/>
    </xf>
    <xf numFmtId="0" fontId="3" fillId="10" borderId="70" xfId="8" applyFont="1" applyFill="1" applyBorder="1" applyAlignment="1" applyProtection="1">
      <alignment horizontal="center"/>
      <protection locked="0"/>
    </xf>
    <xf numFmtId="0" fontId="3" fillId="7" borderId="0" xfId="8" applyFont="1" applyFill="1" applyAlignment="1" applyProtection="1">
      <alignment horizontal="center"/>
      <protection hidden="1"/>
    </xf>
    <xf numFmtId="37" fontId="3" fillId="7" borderId="0" xfId="8" applyNumberFormat="1" applyFont="1" applyFill="1" applyAlignment="1" applyProtection="1">
      <alignment horizontal="center"/>
      <protection hidden="1"/>
    </xf>
    <xf numFmtId="0" fontId="28" fillId="8" borderId="12" xfId="11" applyFont="1" applyFill="1" applyBorder="1" applyAlignment="1" applyProtection="1">
      <alignment vertical="top"/>
      <protection locked="0"/>
    </xf>
    <xf numFmtId="0" fontId="28" fillId="8" borderId="0" xfId="8" applyFont="1" applyFill="1" applyBorder="1" applyAlignment="1" applyProtection="1">
      <alignment vertical="top"/>
      <protection locked="0"/>
    </xf>
    <xf numFmtId="0" fontId="28" fillId="8" borderId="10" xfId="8" applyFont="1" applyFill="1" applyBorder="1" applyAlignment="1" applyProtection="1">
      <alignment vertical="top"/>
      <protection locked="0"/>
    </xf>
    <xf numFmtId="0" fontId="28" fillId="8" borderId="13" xfId="8" applyFont="1" applyFill="1" applyBorder="1" applyAlignment="1" applyProtection="1">
      <alignment vertical="top"/>
      <protection locked="0"/>
    </xf>
    <xf numFmtId="0" fontId="28" fillId="8" borderId="3" xfId="8" applyFont="1" applyFill="1" applyBorder="1" applyAlignment="1" applyProtection="1">
      <alignment vertical="top"/>
      <protection locked="0"/>
    </xf>
    <xf numFmtId="0" fontId="28" fillId="8" borderId="21" xfId="8" applyFont="1" applyFill="1" applyBorder="1" applyAlignment="1" applyProtection="1">
      <alignment vertical="top"/>
      <protection locked="0"/>
    </xf>
    <xf numFmtId="171" fontId="3" fillId="10" borderId="0" xfId="11" applyNumberFormat="1" applyFont="1" applyFill="1" applyBorder="1" applyAlignment="1" applyProtection="1">
      <alignment horizontal="center" vertical="center"/>
    </xf>
    <xf numFmtId="37" fontId="3" fillId="7" borderId="0" xfId="8" applyNumberFormat="1" applyFont="1" applyFill="1" applyBorder="1" applyAlignment="1" applyProtection="1">
      <alignment horizontal="center"/>
      <protection hidden="1"/>
    </xf>
    <xf numFmtId="0" fontId="3" fillId="10" borderId="0" xfId="11" applyFont="1" applyFill="1" applyBorder="1" applyAlignment="1" applyProtection="1">
      <alignment horizontal="center" vertical="center" wrapText="1"/>
    </xf>
    <xf numFmtId="0" fontId="3" fillId="10" borderId="0" xfId="8" applyFont="1" applyFill="1" applyBorder="1" applyAlignment="1" applyProtection="1">
      <alignment horizontal="center" vertical="center" wrapText="1"/>
    </xf>
    <xf numFmtId="0" fontId="1" fillId="7" borderId="0" xfId="8" applyFont="1" applyFill="1" applyAlignment="1" applyProtection="1"/>
    <xf numFmtId="171" fontId="3" fillId="10" borderId="0" xfId="11" applyNumberFormat="1" applyFont="1" applyFill="1" applyBorder="1" applyAlignment="1" applyProtection="1">
      <alignment horizontal="center" vertical="center"/>
      <protection locked="0"/>
    </xf>
    <xf numFmtId="0" fontId="3" fillId="10" borderId="0" xfId="11" applyFont="1" applyFill="1" applyBorder="1" applyAlignment="1" applyProtection="1">
      <alignment horizontal="center"/>
      <protection locked="0"/>
    </xf>
    <xf numFmtId="37" fontId="3" fillId="7" borderId="70" xfId="8" applyNumberFormat="1" applyFont="1" applyFill="1" applyBorder="1" applyAlignment="1" applyProtection="1">
      <alignment horizontal="center"/>
      <protection hidden="1"/>
    </xf>
    <xf numFmtId="0" fontId="3" fillId="7" borderId="0" xfId="11" applyFont="1" applyFill="1" applyBorder="1" applyAlignment="1" applyProtection="1">
      <alignment horizontal="left" wrapText="1"/>
    </xf>
    <xf numFmtId="0" fontId="3" fillId="7" borderId="0" xfId="8" applyFont="1" applyFill="1" applyAlignment="1" applyProtection="1">
      <alignment wrapText="1"/>
    </xf>
    <xf numFmtId="0" fontId="3" fillId="10" borderId="0" xfId="8" applyFont="1" applyFill="1" applyBorder="1" applyAlignment="1" applyProtection="1">
      <alignment horizontal="center"/>
    </xf>
    <xf numFmtId="0" fontId="24" fillId="10" borderId="0" xfId="8" applyFont="1" applyFill="1" applyBorder="1" applyAlignment="1" applyProtection="1">
      <alignment horizontal="center"/>
    </xf>
    <xf numFmtId="0" fontId="3" fillId="10" borderId="0" xfId="8" applyFont="1" applyFill="1" applyBorder="1" applyAlignment="1" applyProtection="1"/>
    <xf numFmtId="0" fontId="1" fillId="10" borderId="0" xfId="11" applyFont="1" applyFill="1" applyBorder="1" applyAlignment="1" applyProtection="1">
      <alignment horizontal="center"/>
    </xf>
    <xf numFmtId="0" fontId="3" fillId="10" borderId="11" xfId="11" applyFont="1" applyFill="1" applyBorder="1" applyAlignment="1" applyProtection="1">
      <alignment horizontal="center" vertical="center"/>
      <protection locked="0"/>
    </xf>
    <xf numFmtId="0" fontId="3" fillId="10" borderId="4" xfId="11" applyFont="1" applyFill="1" applyBorder="1" applyAlignment="1" applyProtection="1">
      <alignment horizontal="center" vertical="center"/>
      <protection locked="0"/>
    </xf>
    <xf numFmtId="0" fontId="3" fillId="10" borderId="20" xfId="11" applyFont="1" applyFill="1" applyBorder="1" applyAlignment="1" applyProtection="1">
      <alignment horizontal="center" vertical="center"/>
      <protection locked="0"/>
    </xf>
    <xf numFmtId="0" fontId="2" fillId="8" borderId="11" xfId="11" applyFont="1" applyFill="1" applyBorder="1" applyAlignment="1" applyProtection="1">
      <alignment horizontal="left" vertical="top" wrapText="1"/>
      <protection locked="0"/>
    </xf>
    <xf numFmtId="0" fontId="2" fillId="8" borderId="4" xfId="11" applyFont="1" applyFill="1" applyBorder="1" applyAlignment="1" applyProtection="1">
      <alignment horizontal="left" vertical="top" wrapText="1"/>
      <protection locked="0"/>
    </xf>
    <xf numFmtId="0" fontId="2" fillId="8" borderId="20" xfId="11" applyFont="1" applyFill="1" applyBorder="1" applyAlignment="1" applyProtection="1">
      <alignment horizontal="left" vertical="top" wrapText="1"/>
      <protection locked="0"/>
    </xf>
    <xf numFmtId="0" fontId="2" fillId="8" borderId="12" xfId="11" applyFont="1" applyFill="1" applyBorder="1" applyAlignment="1" applyProtection="1">
      <alignment horizontal="left" vertical="top" wrapText="1"/>
      <protection locked="0"/>
    </xf>
    <xf numFmtId="0" fontId="2" fillId="8" borderId="10" xfId="11" applyFont="1" applyFill="1" applyBorder="1" applyAlignment="1" applyProtection="1">
      <alignment horizontal="left" vertical="top" wrapText="1"/>
      <protection locked="0"/>
    </xf>
    <xf numFmtId="0" fontId="2" fillId="8" borderId="13" xfId="11" applyFont="1" applyFill="1" applyBorder="1" applyAlignment="1" applyProtection="1">
      <alignment horizontal="left" vertical="top" wrapText="1"/>
      <protection locked="0"/>
    </xf>
    <xf numFmtId="0" fontId="2" fillId="8" borderId="3" xfId="11" applyFont="1" applyFill="1" applyBorder="1" applyAlignment="1" applyProtection="1">
      <alignment horizontal="left" vertical="top" wrapText="1"/>
      <protection locked="0"/>
    </xf>
    <xf numFmtId="0" fontId="2" fillId="8" borderId="21" xfId="11" applyFont="1" applyFill="1" applyBorder="1" applyAlignment="1" applyProtection="1">
      <alignment horizontal="left" vertical="top" wrapText="1"/>
      <protection locked="0"/>
    </xf>
    <xf numFmtId="0" fontId="45" fillId="10" borderId="0" xfId="11" applyFont="1" applyFill="1" applyBorder="1" applyAlignment="1" applyProtection="1">
      <alignment horizontal="right"/>
    </xf>
    <xf numFmtId="0" fontId="45" fillId="10" borderId="0" xfId="8" applyFont="1" applyFill="1" applyBorder="1" applyAlignment="1" applyProtection="1">
      <alignment horizontal="right"/>
    </xf>
    <xf numFmtId="0" fontId="3" fillId="7" borderId="0" xfId="11" applyNumberFormat="1" applyFont="1" applyFill="1" applyAlignment="1" applyProtection="1">
      <alignment horizontal="center" wrapText="1"/>
    </xf>
    <xf numFmtId="0" fontId="3" fillId="7" borderId="0" xfId="8" applyNumberFormat="1" applyFont="1" applyFill="1" applyAlignment="1" applyProtection="1"/>
    <xf numFmtId="0" fontId="14" fillId="10" borderId="65" xfId="11" applyFont="1" applyFill="1" applyBorder="1" applyAlignment="1" applyProtection="1">
      <alignment horizontal="left" wrapText="1"/>
      <protection locked="0"/>
    </xf>
    <xf numFmtId="0" fontId="14" fillId="10" borderId="0" xfId="11" applyFont="1" applyFill="1" applyBorder="1" applyAlignment="1" applyProtection="1">
      <alignment horizontal="left" wrapText="1"/>
      <protection locked="0"/>
    </xf>
    <xf numFmtId="0" fontId="14" fillId="10" borderId="0" xfId="11" applyFont="1" applyFill="1" applyBorder="1" applyAlignment="1" applyProtection="1">
      <alignment horizontal="left" vertical="top" wrapText="1"/>
      <protection locked="0"/>
    </xf>
    <xf numFmtId="0" fontId="3" fillId="7" borderId="0" xfId="11" applyNumberFormat="1" applyFont="1" applyFill="1" applyBorder="1" applyAlignment="1" applyProtection="1">
      <alignment horizontal="center"/>
    </xf>
    <xf numFmtId="5" fontId="3" fillId="7" borderId="0" xfId="11" applyNumberFormat="1" applyFont="1" applyFill="1" applyBorder="1" applyAlignment="1" applyProtection="1">
      <alignment horizontal="center"/>
    </xf>
    <xf numFmtId="0" fontId="3" fillId="10" borderId="11" xfId="8" applyFont="1" applyFill="1" applyBorder="1" applyAlignment="1" applyProtection="1">
      <alignment horizontal="center" vertical="center"/>
      <protection locked="0"/>
    </xf>
    <xf numFmtId="0" fontId="2" fillId="10" borderId="4" xfId="8" applyFont="1" applyFill="1" applyBorder="1" applyAlignment="1" applyProtection="1">
      <alignment horizontal="center" vertical="center"/>
      <protection locked="0"/>
    </xf>
    <xf numFmtId="0" fontId="2" fillId="10" borderId="20" xfId="8" applyFont="1" applyFill="1" applyBorder="1" applyAlignment="1" applyProtection="1">
      <alignment horizontal="center" vertical="center"/>
      <protection locked="0"/>
    </xf>
    <xf numFmtId="0" fontId="2" fillId="10" borderId="12" xfId="8" applyFont="1" applyFill="1" applyBorder="1" applyAlignment="1" applyProtection="1">
      <alignment horizontal="center" vertical="center"/>
      <protection locked="0"/>
    </xf>
    <xf numFmtId="0" fontId="2" fillId="10" borderId="0" xfId="8" applyFont="1" applyFill="1" applyBorder="1" applyAlignment="1" applyProtection="1">
      <alignment horizontal="center" vertical="center"/>
      <protection locked="0"/>
    </xf>
    <xf numFmtId="0" fontId="2" fillId="10" borderId="10" xfId="8" applyFont="1" applyFill="1" applyBorder="1" applyAlignment="1" applyProtection="1">
      <alignment horizontal="center" vertical="center"/>
      <protection locked="0"/>
    </xf>
    <xf numFmtId="0" fontId="1" fillId="10" borderId="0" xfId="8" applyFont="1" applyFill="1" applyBorder="1" applyAlignment="1" applyProtection="1">
      <alignment horizontal="center"/>
    </xf>
    <xf numFmtId="0" fontId="3" fillId="10" borderId="0" xfId="8" applyFont="1" applyFill="1" applyBorder="1" applyAlignment="1" applyProtection="1">
      <alignment horizontal="left" vertical="top" wrapText="1"/>
    </xf>
    <xf numFmtId="0" fontId="3" fillId="10" borderId="0" xfId="8" applyFont="1" applyFill="1" applyBorder="1" applyAlignment="1" applyProtection="1">
      <alignment horizontal="left"/>
    </xf>
    <xf numFmtId="0" fontId="3" fillId="10" borderId="65" xfId="8" applyFont="1" applyFill="1" applyBorder="1" applyAlignment="1" applyProtection="1">
      <alignment horizontal="left" vertical="top" wrapText="1"/>
      <protection locked="0"/>
    </xf>
    <xf numFmtId="0" fontId="16" fillId="7" borderId="0" xfId="11" applyFont="1" applyFill="1" applyAlignment="1" applyProtection="1">
      <alignment horizontal="left" vertical="top" wrapText="1"/>
      <protection locked="0"/>
    </xf>
    <xf numFmtId="0" fontId="1" fillId="7" borderId="0" xfId="11" applyFont="1" applyFill="1" applyAlignment="1" applyProtection="1">
      <alignment horizontal="left" vertical="center" wrapText="1"/>
      <protection locked="0"/>
    </xf>
    <xf numFmtId="0" fontId="1" fillId="10" borderId="0" xfId="8" applyFill="1" applyBorder="1" applyAlignment="1">
      <alignment horizontal="left" vertical="top" wrapText="1"/>
    </xf>
    <xf numFmtId="0" fontId="1" fillId="10" borderId="10" xfId="8" applyFill="1" applyBorder="1" applyAlignment="1">
      <alignment horizontal="left" vertical="top" wrapText="1"/>
    </xf>
    <xf numFmtId="0" fontId="3" fillId="10" borderId="11" xfId="8" applyFont="1" applyFill="1" applyBorder="1" applyAlignment="1">
      <alignment horizontal="center" vertical="center"/>
    </xf>
    <xf numFmtId="0" fontId="1" fillId="10" borderId="4" xfId="8" applyFill="1" applyBorder="1" applyAlignment="1">
      <alignment horizontal="center" vertical="center"/>
    </xf>
    <xf numFmtId="0" fontId="1" fillId="10" borderId="20" xfId="8" applyFill="1" applyBorder="1" applyAlignment="1">
      <alignment horizontal="center" vertical="center"/>
    </xf>
    <xf numFmtId="0" fontId="1" fillId="10" borderId="12" xfId="8" applyFill="1" applyBorder="1" applyAlignment="1">
      <alignment horizontal="center" vertical="center"/>
    </xf>
    <xf numFmtId="0" fontId="1" fillId="10" borderId="0" xfId="8" applyFill="1" applyBorder="1" applyAlignment="1">
      <alignment horizontal="center" vertical="center"/>
    </xf>
    <xf numFmtId="0" fontId="1" fillId="10" borderId="10" xfId="8" applyFill="1" applyBorder="1" applyAlignment="1">
      <alignment horizontal="center" vertical="center"/>
    </xf>
    <xf numFmtId="0" fontId="3" fillId="8" borderId="11" xfId="8" applyFont="1" applyFill="1" applyBorder="1" applyAlignment="1">
      <alignment horizontal="left" vertical="top" wrapText="1"/>
    </xf>
    <xf numFmtId="0" fontId="3" fillId="8" borderId="4" xfId="8" applyFont="1" applyFill="1" applyBorder="1" applyAlignment="1">
      <alignment horizontal="left" vertical="top" wrapText="1"/>
    </xf>
    <xf numFmtId="0" fontId="3" fillId="8" borderId="20" xfId="8" applyFont="1" applyFill="1" applyBorder="1" applyAlignment="1">
      <alignment horizontal="left" vertical="top" wrapText="1"/>
    </xf>
    <xf numFmtId="0" fontId="3" fillId="8" borderId="12" xfId="8" applyFont="1" applyFill="1" applyBorder="1" applyAlignment="1">
      <alignment horizontal="left" vertical="top" wrapText="1"/>
    </xf>
    <xf numFmtId="0" fontId="3" fillId="8" borderId="0" xfId="8" applyFont="1" applyFill="1" applyBorder="1" applyAlignment="1">
      <alignment horizontal="left" vertical="top" wrapText="1"/>
    </xf>
    <xf numFmtId="0" fontId="3" fillId="8" borderId="10" xfId="8" applyFont="1" applyFill="1" applyBorder="1" applyAlignment="1">
      <alignment horizontal="left" vertical="top" wrapText="1"/>
    </xf>
    <xf numFmtId="0" fontId="3" fillId="8" borderId="13" xfId="8" applyFont="1" applyFill="1" applyBorder="1" applyAlignment="1">
      <alignment horizontal="left" vertical="top" wrapText="1"/>
    </xf>
    <xf numFmtId="0" fontId="3" fillId="8" borderId="3" xfId="8" applyFont="1" applyFill="1" applyBorder="1" applyAlignment="1">
      <alignment horizontal="left" vertical="top" wrapText="1"/>
    </xf>
    <xf numFmtId="0" fontId="3" fillId="8" borderId="21" xfId="8" applyFont="1" applyFill="1" applyBorder="1" applyAlignment="1">
      <alignment horizontal="left" vertical="top" wrapText="1"/>
    </xf>
    <xf numFmtId="0" fontId="1" fillId="8" borderId="11" xfId="8" applyFill="1" applyBorder="1" applyAlignment="1" applyProtection="1">
      <alignment horizontal="left" vertical="top"/>
      <protection locked="0"/>
    </xf>
    <xf numFmtId="0" fontId="1" fillId="8" borderId="4" xfId="8" applyFill="1" applyBorder="1" applyAlignment="1" applyProtection="1">
      <alignment horizontal="left" vertical="top"/>
      <protection locked="0"/>
    </xf>
    <xf numFmtId="0" fontId="1" fillId="8" borderId="20" xfId="8" applyFill="1" applyBorder="1" applyAlignment="1" applyProtection="1">
      <alignment horizontal="left" vertical="top"/>
      <protection locked="0"/>
    </xf>
    <xf numFmtId="0" fontId="1" fillId="8" borderId="12" xfId="8" applyFill="1" applyBorder="1" applyAlignment="1" applyProtection="1">
      <alignment horizontal="left" vertical="top"/>
      <protection locked="0"/>
    </xf>
    <xf numFmtId="0" fontId="1" fillId="8" borderId="0" xfId="8" applyFill="1" applyBorder="1" applyAlignment="1" applyProtection="1">
      <alignment horizontal="left" vertical="top"/>
      <protection locked="0"/>
    </xf>
    <xf numFmtId="0" fontId="1" fillId="8" borderId="10" xfId="8" applyFill="1" applyBorder="1" applyAlignment="1" applyProtection="1">
      <alignment horizontal="left" vertical="top"/>
      <protection locked="0"/>
    </xf>
    <xf numFmtId="0" fontId="1" fillId="8" borderId="13" xfId="8" applyFill="1" applyBorder="1" applyAlignment="1" applyProtection="1">
      <alignment horizontal="left" vertical="top"/>
      <protection locked="0"/>
    </xf>
    <xf numFmtId="0" fontId="1" fillId="8" borderId="3" xfId="8" applyFill="1" applyBorder="1" applyAlignment="1" applyProtection="1">
      <alignment horizontal="left" vertical="top"/>
      <protection locked="0"/>
    </xf>
    <xf numFmtId="0" fontId="1" fillId="8" borderId="21" xfId="8" applyFill="1" applyBorder="1" applyAlignment="1" applyProtection="1">
      <alignment horizontal="left" vertical="top"/>
      <protection locked="0"/>
    </xf>
    <xf numFmtId="0" fontId="81" fillId="10" borderId="0" xfId="8" applyFont="1" applyFill="1" applyBorder="1" applyAlignment="1" applyProtection="1">
      <alignment horizontal="left" vertical="top"/>
    </xf>
    <xf numFmtId="0" fontId="81" fillId="10" borderId="10" xfId="8" applyFont="1" applyFill="1" applyBorder="1" applyAlignment="1" applyProtection="1">
      <alignment horizontal="left" vertical="top"/>
    </xf>
    <xf numFmtId="0" fontId="81" fillId="8" borderId="18" xfId="8" applyFont="1" applyFill="1" applyBorder="1" applyAlignment="1" applyProtection="1">
      <alignment horizontal="left" wrapText="1"/>
      <protection locked="0"/>
    </xf>
    <xf numFmtId="0" fontId="81" fillId="8" borderId="17" xfId="8" applyFont="1" applyFill="1" applyBorder="1" applyAlignment="1" applyProtection="1">
      <alignment horizontal="left" wrapText="1"/>
      <protection locked="0"/>
    </xf>
    <xf numFmtId="0" fontId="81" fillId="8" borderId="19" xfId="8" applyFont="1" applyFill="1" applyBorder="1" applyAlignment="1" applyProtection="1">
      <alignment horizontal="left" wrapText="1"/>
      <protection locked="0"/>
    </xf>
    <xf numFmtId="0" fontId="1" fillId="10" borderId="0" xfId="8" applyFont="1" applyFill="1" applyBorder="1" applyAlignment="1" applyProtection="1">
      <alignment horizontal="left" vertical="top" wrapText="1"/>
    </xf>
    <xf numFmtId="0" fontId="81" fillId="10" borderId="0" xfId="8" applyFont="1" applyFill="1" applyBorder="1" applyAlignment="1" applyProtection="1">
      <alignment horizontal="center" vertical="top" wrapText="1"/>
      <protection locked="0"/>
    </xf>
    <xf numFmtId="0" fontId="105" fillId="6" borderId="103" xfId="1" applyFont="1" applyBorder="1" applyAlignment="1" applyProtection="1">
      <alignment horizontal="center" vertical="center"/>
      <protection locked="0"/>
    </xf>
    <xf numFmtId="0" fontId="78" fillId="6" borderId="104" xfId="1" applyFont="1" applyBorder="1" applyAlignment="1" applyProtection="1">
      <alignment horizontal="center" vertical="center"/>
      <protection locked="0"/>
    </xf>
    <xf numFmtId="0" fontId="78" fillId="6" borderId="105" xfId="1" applyFont="1" applyBorder="1" applyAlignment="1" applyProtection="1">
      <alignment horizontal="center" vertical="center"/>
      <protection locked="0"/>
    </xf>
    <xf numFmtId="0" fontId="81" fillId="10" borderId="0" xfId="8" applyFont="1" applyFill="1" applyBorder="1" applyAlignment="1" applyProtection="1">
      <alignment horizontal="left" vertical="top"/>
      <protection locked="0"/>
    </xf>
    <xf numFmtId="0" fontId="81" fillId="10" borderId="0" xfId="0" applyFont="1" applyFill="1" applyAlignment="1" applyProtection="1">
      <alignment horizontal="left" vertical="top" wrapText="1"/>
    </xf>
    <xf numFmtId="0" fontId="106" fillId="10" borderId="0" xfId="8" applyFont="1" applyFill="1" applyBorder="1" applyAlignment="1" applyProtection="1">
      <alignment horizontal="left" vertical="top"/>
    </xf>
    <xf numFmtId="0" fontId="77" fillId="8" borderId="11" xfId="1" applyFill="1" applyBorder="1" applyAlignment="1" applyProtection="1">
      <alignment horizontal="left" vertical="top" wrapText="1"/>
      <protection locked="0"/>
    </xf>
    <xf numFmtId="0" fontId="77" fillId="8" borderId="4" xfId="1" applyFill="1" applyBorder="1" applyAlignment="1" applyProtection="1">
      <alignment horizontal="left" vertical="top" wrapText="1"/>
      <protection locked="0"/>
    </xf>
    <xf numFmtId="0" fontId="77" fillId="8" borderId="20" xfId="1" applyFill="1" applyBorder="1" applyAlignment="1" applyProtection="1">
      <alignment horizontal="left" vertical="top" wrapText="1"/>
      <protection locked="0"/>
    </xf>
    <xf numFmtId="0" fontId="77" fillId="8" borderId="12" xfId="1" applyFill="1" applyBorder="1" applyAlignment="1" applyProtection="1">
      <alignment horizontal="left" vertical="top" wrapText="1"/>
      <protection locked="0"/>
    </xf>
    <xf numFmtId="0" fontId="77" fillId="8" borderId="0" xfId="1" applyFill="1" applyBorder="1" applyAlignment="1" applyProtection="1">
      <alignment horizontal="left" vertical="top" wrapText="1"/>
      <protection locked="0"/>
    </xf>
    <xf numFmtId="0" fontId="77" fillId="8" borderId="10" xfId="1" applyFill="1" applyBorder="1" applyAlignment="1" applyProtection="1">
      <alignment horizontal="left" vertical="top" wrapText="1"/>
      <protection locked="0"/>
    </xf>
    <xf numFmtId="0" fontId="77" fillId="8" borderId="13" xfId="1" applyFill="1" applyBorder="1" applyAlignment="1" applyProtection="1">
      <alignment horizontal="left" vertical="top" wrapText="1"/>
      <protection locked="0"/>
    </xf>
    <xf numFmtId="0" fontId="77" fillId="8" borderId="3" xfId="1" applyFill="1" applyBorder="1" applyAlignment="1" applyProtection="1">
      <alignment horizontal="left" vertical="top" wrapText="1"/>
      <protection locked="0"/>
    </xf>
    <xf numFmtId="0" fontId="77" fillId="8" borderId="21" xfId="1" applyFill="1" applyBorder="1" applyAlignment="1" applyProtection="1">
      <alignment horizontal="left" vertical="top" wrapText="1"/>
      <protection locked="0"/>
    </xf>
    <xf numFmtId="0" fontId="91" fillId="8" borderId="18" xfId="8" applyFont="1" applyFill="1" applyBorder="1" applyAlignment="1" applyProtection="1">
      <alignment horizontal="center"/>
      <protection locked="0"/>
    </xf>
    <xf numFmtId="0" fontId="91" fillId="8" borderId="102" xfId="8" applyFont="1" applyFill="1" applyBorder="1" applyAlignment="1" applyProtection="1">
      <alignment horizontal="center"/>
      <protection locked="0"/>
    </xf>
    <xf numFmtId="0" fontId="81" fillId="10" borderId="0" xfId="8" applyFont="1" applyFill="1" applyBorder="1" applyAlignment="1" applyProtection="1">
      <alignment horizontal="center"/>
      <protection locked="0"/>
    </xf>
    <xf numFmtId="0" fontId="83" fillId="7" borderId="0" xfId="11" applyNumberFormat="1" applyFont="1" applyFill="1" applyBorder="1" applyAlignment="1" applyProtection="1">
      <alignment horizontal="center"/>
    </xf>
    <xf numFmtId="0" fontId="83" fillId="7" borderId="0" xfId="8" applyNumberFormat="1" applyFont="1" applyFill="1" applyAlignment="1" applyProtection="1">
      <alignment horizontal="center"/>
    </xf>
    <xf numFmtId="0" fontId="83" fillId="7" borderId="0" xfId="11" applyFont="1" applyFill="1" applyAlignment="1" applyProtection="1">
      <alignment horizontal="center"/>
      <protection locked="0"/>
    </xf>
    <xf numFmtId="0" fontId="83" fillId="7" borderId="0" xfId="8" applyFont="1" applyFill="1" applyAlignment="1" applyProtection="1">
      <alignment horizontal="center"/>
      <protection locked="0"/>
    </xf>
    <xf numFmtId="0" fontId="81" fillId="7" borderId="0" xfId="11" applyFont="1" applyFill="1" applyAlignment="1" applyProtection="1">
      <alignment horizontal="center"/>
      <protection locked="0"/>
    </xf>
    <xf numFmtId="0" fontId="81" fillId="7" borderId="0" xfId="8" applyFont="1" applyFill="1" applyAlignment="1" applyProtection="1">
      <alignment horizontal="center"/>
      <protection locked="0"/>
    </xf>
    <xf numFmtId="0" fontId="81" fillId="10" borderId="65" xfId="8" applyFont="1" applyFill="1" applyBorder="1" applyAlignment="1" applyProtection="1">
      <alignment horizontal="left" wrapText="1"/>
      <protection locked="0"/>
    </xf>
    <xf numFmtId="0" fontId="81" fillId="10" borderId="65" xfId="8" applyFont="1" applyFill="1" applyBorder="1" applyAlignment="1" applyProtection="1">
      <alignment wrapText="1"/>
      <protection locked="0"/>
    </xf>
    <xf numFmtId="0" fontId="81" fillId="10" borderId="0" xfId="8" applyFont="1" applyFill="1" applyBorder="1" applyAlignment="1" applyProtection="1">
      <alignment wrapText="1"/>
      <protection locked="0"/>
    </xf>
    <xf numFmtId="0" fontId="83" fillId="10" borderId="64" xfId="8" applyFont="1" applyFill="1" applyBorder="1" applyAlignment="1" applyProtection="1">
      <alignment horizontal="left" wrapText="1"/>
      <protection locked="0"/>
    </xf>
    <xf numFmtId="0" fontId="83" fillId="10" borderId="65" xfId="8" applyFont="1" applyFill="1" applyBorder="1" applyAlignment="1" applyProtection="1">
      <alignment horizontal="left" wrapText="1"/>
      <protection locked="0"/>
    </xf>
    <xf numFmtId="0" fontId="83" fillId="10" borderId="67" xfId="8" applyFont="1" applyFill="1" applyBorder="1" applyAlignment="1" applyProtection="1">
      <alignment horizontal="left" wrapText="1"/>
      <protection locked="0"/>
    </xf>
    <xf numFmtId="0" fontId="83" fillId="10" borderId="0" xfId="8" applyFont="1" applyFill="1" applyBorder="1" applyAlignment="1" applyProtection="1">
      <alignment horizontal="left" wrapText="1"/>
      <protection locked="0"/>
    </xf>
    <xf numFmtId="0" fontId="81" fillId="10" borderId="0" xfId="8" applyFont="1" applyFill="1" applyBorder="1" applyAlignment="1" applyProtection="1">
      <alignment horizontal="left" vertical="top" wrapText="1"/>
      <protection locked="0"/>
    </xf>
    <xf numFmtId="0" fontId="83" fillId="10" borderId="0" xfId="8" applyFont="1" applyFill="1" applyBorder="1" applyAlignment="1" applyProtection="1">
      <alignment horizontal="center" vertical="center" wrapText="1"/>
      <protection locked="0"/>
    </xf>
    <xf numFmtId="0" fontId="83" fillId="10" borderId="68" xfId="8" applyFont="1" applyFill="1" applyBorder="1" applyAlignment="1" applyProtection="1">
      <alignment horizontal="center" vertical="center" wrapText="1"/>
      <protection locked="0"/>
    </xf>
    <xf numFmtId="0" fontId="81" fillId="8" borderId="18" xfId="8" applyFont="1" applyFill="1" applyBorder="1" applyAlignment="1" applyProtection="1">
      <alignment horizontal="left" vertical="center"/>
      <protection locked="0"/>
    </xf>
    <xf numFmtId="0" fontId="81" fillId="8" borderId="19" xfId="8" applyFont="1" applyFill="1" applyBorder="1" applyAlignment="1" applyProtection="1">
      <alignment horizontal="left" vertical="center"/>
      <protection locked="0"/>
    </xf>
    <xf numFmtId="0" fontId="81" fillId="10" borderId="0" xfId="8" applyFont="1" applyFill="1" applyBorder="1" applyAlignment="1" applyProtection="1">
      <alignment horizontal="left"/>
    </xf>
    <xf numFmtId="0" fontId="81" fillId="8" borderId="17" xfId="8" applyFont="1" applyFill="1" applyBorder="1" applyAlignment="1" applyProtection="1">
      <alignment horizontal="left" vertical="center"/>
      <protection locked="0"/>
    </xf>
    <xf numFmtId="0" fontId="104" fillId="10" borderId="0" xfId="8" applyFont="1" applyFill="1" applyBorder="1" applyAlignment="1" applyProtection="1">
      <alignment horizontal="left" vertical="top" wrapText="1"/>
      <protection locked="0"/>
    </xf>
    <xf numFmtId="0" fontId="104" fillId="10" borderId="3" xfId="8" applyFont="1" applyFill="1" applyBorder="1" applyAlignment="1" applyProtection="1">
      <alignment horizontal="left" vertical="top" wrapText="1"/>
      <protection locked="0"/>
    </xf>
    <xf numFmtId="0" fontId="81" fillId="10" borderId="0" xfId="8" applyFont="1" applyFill="1" applyBorder="1" applyAlignment="1" applyProtection="1">
      <alignment horizontal="left"/>
      <protection locked="0"/>
    </xf>
    <xf numFmtId="0" fontId="81" fillId="10" borderId="0" xfId="8" applyFont="1" applyFill="1" applyAlignment="1" applyProtection="1">
      <alignment horizontal="left" vertical="top" wrapText="1"/>
      <protection locked="0"/>
    </xf>
    <xf numFmtId="0" fontId="83" fillId="10" borderId="0" xfId="8" applyFont="1" applyFill="1" applyBorder="1" applyAlignment="1" applyProtection="1">
      <alignment horizontal="left" vertical="top" wrapText="1"/>
      <protection locked="0"/>
    </xf>
    <xf numFmtId="0" fontId="81" fillId="10" borderId="0" xfId="8" applyFont="1" applyFill="1" applyBorder="1" applyAlignment="1" applyProtection="1">
      <alignment horizontal="left" wrapText="1"/>
      <protection locked="0"/>
    </xf>
    <xf numFmtId="0" fontId="81" fillId="10" borderId="65"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8" borderId="11" xfId="11" applyFont="1" applyFill="1" applyBorder="1" applyAlignment="1" applyProtection="1">
      <alignment horizontal="left" vertical="top" wrapText="1"/>
      <protection locked="0"/>
    </xf>
    <xf numFmtId="0" fontId="81" fillId="8" borderId="4" xfId="11" applyFont="1" applyFill="1" applyBorder="1" applyAlignment="1" applyProtection="1">
      <alignment horizontal="left" vertical="top" wrapText="1"/>
      <protection locked="0"/>
    </xf>
    <xf numFmtId="0" fontId="81" fillId="8" borderId="20" xfId="11" applyFont="1" applyFill="1" applyBorder="1" applyAlignment="1" applyProtection="1">
      <alignment horizontal="left" vertical="top" wrapText="1"/>
      <protection locked="0"/>
    </xf>
    <xf numFmtId="0" fontId="81" fillId="8" borderId="12" xfId="11" applyFont="1" applyFill="1" applyBorder="1" applyAlignment="1" applyProtection="1">
      <alignment horizontal="left" vertical="top" wrapText="1"/>
      <protection locked="0"/>
    </xf>
    <xf numFmtId="0" fontId="81" fillId="8" borderId="0" xfId="11" applyFont="1" applyFill="1" applyBorder="1" applyAlignment="1" applyProtection="1">
      <alignment horizontal="left" vertical="top" wrapText="1"/>
      <protection locked="0"/>
    </xf>
    <xf numFmtId="0" fontId="81" fillId="8" borderId="10" xfId="11" applyFont="1" applyFill="1" applyBorder="1" applyAlignment="1" applyProtection="1">
      <alignment horizontal="left" vertical="top" wrapText="1"/>
      <protection locked="0"/>
    </xf>
    <xf numFmtId="0" fontId="81" fillId="8" borderId="13" xfId="11" applyFont="1" applyFill="1" applyBorder="1" applyAlignment="1" applyProtection="1">
      <alignment horizontal="left" vertical="top" wrapText="1"/>
      <protection locked="0"/>
    </xf>
    <xf numFmtId="0" fontId="81" fillId="8" borderId="3" xfId="11" applyFont="1" applyFill="1" applyBorder="1" applyAlignment="1" applyProtection="1">
      <alignment horizontal="left" vertical="top" wrapText="1"/>
      <protection locked="0"/>
    </xf>
    <xf numFmtId="0" fontId="81" fillId="8" borderId="21" xfId="11" applyFont="1" applyFill="1" applyBorder="1" applyAlignment="1" applyProtection="1">
      <alignment horizontal="left" vertical="top" wrapText="1"/>
      <protection locked="0"/>
    </xf>
    <xf numFmtId="0" fontId="83" fillId="10" borderId="67" xfId="8" applyFont="1" applyFill="1" applyBorder="1" applyAlignment="1" applyProtection="1">
      <alignment horizontal="left" vertical="top" wrapText="1"/>
    </xf>
    <xf numFmtId="0" fontId="83" fillId="10" borderId="0" xfId="8" applyFont="1" applyFill="1" applyBorder="1" applyAlignment="1" applyProtection="1">
      <alignment horizontal="left" vertical="top" wrapText="1"/>
    </xf>
    <xf numFmtId="0" fontId="83" fillId="10" borderId="68" xfId="8" applyFont="1" applyFill="1" applyBorder="1" applyAlignment="1" applyProtection="1">
      <alignment horizontal="left" vertical="top" wrapText="1"/>
    </xf>
    <xf numFmtId="0" fontId="81" fillId="18" borderId="11" xfId="8" applyFont="1" applyFill="1" applyBorder="1" applyAlignment="1" applyProtection="1">
      <alignment horizontal="left" vertical="top" wrapText="1"/>
      <protection locked="0"/>
    </xf>
    <xf numFmtId="0" fontId="81" fillId="18" borderId="4" xfId="8" applyFont="1" applyFill="1" applyBorder="1" applyAlignment="1" applyProtection="1">
      <alignment horizontal="left" vertical="top" wrapText="1"/>
      <protection locked="0"/>
    </xf>
    <xf numFmtId="0" fontId="81" fillId="18" borderId="20" xfId="8" applyFont="1" applyFill="1" applyBorder="1" applyAlignment="1" applyProtection="1">
      <alignment horizontal="left" vertical="top" wrapText="1"/>
      <protection locked="0"/>
    </xf>
    <xf numFmtId="0" fontId="81" fillId="18" borderId="12" xfId="8" applyFont="1" applyFill="1" applyBorder="1" applyAlignment="1" applyProtection="1">
      <alignment horizontal="left" vertical="top" wrapText="1"/>
      <protection locked="0"/>
    </xf>
    <xf numFmtId="0" fontId="81" fillId="18" borderId="0" xfId="8" applyFont="1" applyFill="1" applyBorder="1" applyAlignment="1" applyProtection="1">
      <alignment horizontal="left" vertical="top" wrapText="1"/>
      <protection locked="0"/>
    </xf>
    <xf numFmtId="0" fontId="81" fillId="18" borderId="10" xfId="8" applyFont="1" applyFill="1" applyBorder="1" applyAlignment="1" applyProtection="1">
      <alignment horizontal="left" vertical="top" wrapText="1"/>
      <protection locked="0"/>
    </xf>
    <xf numFmtId="0" fontId="81" fillId="18" borderId="13" xfId="8" applyFont="1" applyFill="1" applyBorder="1" applyAlignment="1" applyProtection="1">
      <alignment horizontal="left" vertical="top" wrapText="1"/>
      <protection locked="0"/>
    </xf>
    <xf numFmtId="0" fontId="81" fillId="18" borderId="3" xfId="8" applyFont="1" applyFill="1" applyBorder="1" applyAlignment="1" applyProtection="1">
      <alignment horizontal="left" vertical="top" wrapText="1"/>
      <protection locked="0"/>
    </xf>
    <xf numFmtId="0" fontId="81" fillId="18" borderId="21" xfId="8" applyFont="1" applyFill="1" applyBorder="1" applyAlignment="1" applyProtection="1">
      <alignment horizontal="left" vertical="top" wrapText="1"/>
      <protection locked="0"/>
    </xf>
    <xf numFmtId="0" fontId="8" fillId="10" borderId="0" xfId="7" applyFill="1" applyAlignment="1" applyProtection="1">
      <alignment horizontal="left" vertical="top" wrapText="1"/>
    </xf>
    <xf numFmtId="0" fontId="81" fillId="8" borderId="11" xfId="8" applyFont="1" applyFill="1" applyBorder="1" applyAlignment="1" applyProtection="1">
      <alignment horizontal="left" vertical="top" wrapText="1"/>
      <protection locked="0"/>
    </xf>
    <xf numFmtId="0" fontId="81" fillId="8" borderId="4" xfId="8" applyFont="1" applyFill="1" applyBorder="1" applyAlignment="1" applyProtection="1">
      <alignment horizontal="left" vertical="top" wrapText="1"/>
      <protection locked="0"/>
    </xf>
    <xf numFmtId="0" fontId="81" fillId="8" borderId="20" xfId="8" applyFont="1" applyFill="1" applyBorder="1" applyAlignment="1" applyProtection="1">
      <alignment horizontal="left" vertical="top" wrapText="1"/>
      <protection locked="0"/>
    </xf>
    <xf numFmtId="0" fontId="81" fillId="8" borderId="12" xfId="8" applyFont="1" applyFill="1" applyBorder="1" applyAlignment="1" applyProtection="1">
      <alignment horizontal="left" vertical="top" wrapText="1"/>
      <protection locked="0"/>
    </xf>
    <xf numFmtId="0" fontId="81" fillId="8" borderId="0" xfId="8" applyFont="1" applyFill="1" applyBorder="1" applyAlignment="1" applyProtection="1">
      <alignment horizontal="left" vertical="top" wrapText="1"/>
      <protection locked="0"/>
    </xf>
    <xf numFmtId="0" fontId="81" fillId="8" borderId="10" xfId="8" applyFont="1" applyFill="1" applyBorder="1" applyAlignment="1" applyProtection="1">
      <alignment horizontal="left" vertical="top" wrapText="1"/>
      <protection locked="0"/>
    </xf>
    <xf numFmtId="0" fontId="81" fillId="8" borderId="13" xfId="8" applyFont="1" applyFill="1" applyBorder="1" applyAlignment="1" applyProtection="1">
      <alignment horizontal="left" vertical="top" wrapText="1"/>
      <protection locked="0"/>
    </xf>
    <xf numFmtId="0" fontId="81" fillId="8" borderId="3" xfId="8" applyFont="1" applyFill="1" applyBorder="1" applyAlignment="1" applyProtection="1">
      <alignment horizontal="left" vertical="top" wrapText="1"/>
      <protection locked="0"/>
    </xf>
    <xf numFmtId="0" fontId="81" fillId="8" borderId="21" xfId="8" applyFont="1" applyFill="1" applyBorder="1" applyAlignment="1" applyProtection="1">
      <alignment horizontal="left" vertical="top" wrapText="1"/>
      <protection locked="0"/>
    </xf>
    <xf numFmtId="0" fontId="103" fillId="10" borderId="0" xfId="8" applyFont="1" applyFill="1" applyBorder="1" applyAlignment="1" applyProtection="1">
      <alignment horizontal="left" vertical="top" wrapText="1"/>
    </xf>
    <xf numFmtId="0" fontId="81" fillId="10" borderId="0" xfId="8" applyFont="1" applyFill="1" applyBorder="1" applyAlignment="1" applyProtection="1">
      <alignment horizontal="center" vertical="center"/>
      <protection locked="0"/>
    </xf>
    <xf numFmtId="0" fontId="81" fillId="8" borderId="1" xfId="8" applyFont="1" applyFill="1" applyBorder="1" applyAlignment="1" applyProtection="1">
      <alignment horizontal="left" wrapText="1"/>
      <protection locked="0"/>
    </xf>
    <xf numFmtId="49" fontId="1" fillId="8" borderId="11" xfId="8" applyNumberFormat="1" applyFill="1" applyBorder="1" applyAlignment="1" applyProtection="1">
      <alignment horizontal="left" vertical="top"/>
      <protection locked="0"/>
    </xf>
    <xf numFmtId="49" fontId="1" fillId="8" borderId="4" xfId="8" applyNumberFormat="1" applyFill="1" applyBorder="1" applyAlignment="1" applyProtection="1">
      <alignment horizontal="left" vertical="top"/>
      <protection locked="0"/>
    </xf>
    <xf numFmtId="49" fontId="1" fillId="8" borderId="20" xfId="8" applyNumberFormat="1" applyFill="1" applyBorder="1" applyAlignment="1" applyProtection="1">
      <alignment horizontal="left" vertical="top"/>
      <protection locked="0"/>
    </xf>
    <xf numFmtId="49" fontId="1" fillId="8" borderId="12" xfId="8" applyNumberFormat="1" applyFill="1" applyBorder="1" applyAlignment="1" applyProtection="1">
      <alignment horizontal="left" vertical="top"/>
      <protection locked="0"/>
    </xf>
    <xf numFmtId="49" fontId="1" fillId="8" borderId="0" xfId="8" applyNumberFormat="1" applyFill="1" applyBorder="1" applyAlignment="1" applyProtection="1">
      <alignment horizontal="left" vertical="top"/>
      <protection locked="0"/>
    </xf>
    <xf numFmtId="49" fontId="1" fillId="8" borderId="10" xfId="8" applyNumberFormat="1" applyFill="1" applyBorder="1" applyAlignment="1" applyProtection="1">
      <alignment horizontal="left" vertical="top"/>
      <protection locked="0"/>
    </xf>
    <xf numFmtId="49" fontId="1" fillId="8" borderId="13" xfId="8" applyNumberFormat="1" applyFill="1" applyBorder="1" applyAlignment="1" applyProtection="1">
      <alignment horizontal="left" vertical="top"/>
      <protection locked="0"/>
    </xf>
    <xf numFmtId="49" fontId="1" fillId="8" borderId="3" xfId="8" applyNumberFormat="1" applyFill="1" applyBorder="1" applyAlignment="1" applyProtection="1">
      <alignment horizontal="left" vertical="top"/>
      <protection locked="0"/>
    </xf>
    <xf numFmtId="49" fontId="1" fillId="8" borderId="21" xfId="8" applyNumberFormat="1" applyFill="1" applyBorder="1" applyAlignment="1" applyProtection="1">
      <alignment horizontal="left" vertical="top"/>
      <protection locked="0"/>
    </xf>
    <xf numFmtId="49" fontId="1" fillId="8" borderId="11" xfId="8" applyNumberFormat="1" applyFill="1" applyBorder="1" applyAlignment="1" applyProtection="1">
      <alignment horizontal="center"/>
      <protection locked="0"/>
    </xf>
    <xf numFmtId="49" fontId="1" fillId="8" borderId="20" xfId="8" applyNumberFormat="1" applyFill="1" applyBorder="1" applyAlignment="1" applyProtection="1">
      <alignment horizontal="center"/>
      <protection locked="0"/>
    </xf>
    <xf numFmtId="49" fontId="1" fillId="8" borderId="18" xfId="8" applyNumberFormat="1" applyFill="1" applyBorder="1" applyAlignment="1" applyProtection="1">
      <alignment horizontal="center"/>
      <protection locked="0"/>
    </xf>
    <xf numFmtId="49" fontId="1" fillId="8" borderId="19" xfId="8" applyNumberFormat="1" applyFill="1" applyBorder="1" applyAlignment="1" applyProtection="1">
      <alignment horizontal="center"/>
      <protection locked="0"/>
    </xf>
    <xf numFmtId="49" fontId="1" fillId="8" borderId="18" xfId="8" applyNumberFormat="1" applyFill="1" applyBorder="1" applyAlignment="1" applyProtection="1">
      <alignment horizontal="center" vertical="center"/>
      <protection locked="0"/>
    </xf>
    <xf numFmtId="49" fontId="1" fillId="8" borderId="19" xfId="8" applyNumberFormat="1" applyFill="1" applyBorder="1" applyAlignment="1" applyProtection="1">
      <alignment horizontal="center" vertical="center"/>
      <protection locked="0"/>
    </xf>
    <xf numFmtId="0" fontId="3" fillId="10" borderId="5" xfId="8" applyFont="1" applyFill="1" applyBorder="1" applyAlignment="1">
      <alignment horizontal="center" vertical="center"/>
    </xf>
    <xf numFmtId="0" fontId="3" fillId="10" borderId="7" xfId="8" applyFont="1" applyFill="1" applyBorder="1" applyAlignment="1">
      <alignment horizontal="center" vertical="center"/>
    </xf>
    <xf numFmtId="0" fontId="2" fillId="10" borderId="18" xfId="8" applyFont="1" applyFill="1" applyBorder="1" applyAlignment="1"/>
    <xf numFmtId="0" fontId="2" fillId="10" borderId="17" xfId="8" applyFont="1" applyFill="1" applyBorder="1" applyAlignment="1"/>
    <xf numFmtId="0" fontId="2" fillId="10" borderId="19" xfId="8" applyFont="1" applyFill="1" applyBorder="1" applyAlignment="1"/>
    <xf numFmtId="0" fontId="3" fillId="10" borderId="11" xfId="8" applyFont="1" applyFill="1" applyBorder="1" applyAlignment="1">
      <alignment horizontal="center" vertical="center" wrapText="1"/>
    </xf>
    <xf numFmtId="0" fontId="3" fillId="10" borderId="20" xfId="8" applyFont="1" applyFill="1" applyBorder="1" applyAlignment="1">
      <alignment horizontal="center" vertical="center"/>
    </xf>
    <xf numFmtId="0" fontId="3" fillId="10" borderId="13" xfId="8" applyFont="1" applyFill="1" applyBorder="1" applyAlignment="1">
      <alignment horizontal="center" vertical="center"/>
    </xf>
    <xf numFmtId="0" fontId="3" fillId="10" borderId="21" xfId="8" applyFont="1" applyFill="1" applyBorder="1" applyAlignment="1">
      <alignment horizontal="center" vertical="center"/>
    </xf>
    <xf numFmtId="0" fontId="3" fillId="10" borderId="20" xfId="8" applyFont="1" applyFill="1" applyBorder="1" applyAlignment="1">
      <alignment horizontal="center" vertical="center" wrapText="1"/>
    </xf>
    <xf numFmtId="0" fontId="3" fillId="10" borderId="13" xfId="8" applyFont="1" applyFill="1" applyBorder="1" applyAlignment="1">
      <alignment horizontal="center" vertical="center" wrapText="1"/>
    </xf>
    <xf numFmtId="0" fontId="3" fillId="10" borderId="21" xfId="8" applyFont="1" applyFill="1" applyBorder="1" applyAlignment="1">
      <alignment horizontal="center" vertical="center" wrapText="1"/>
    </xf>
    <xf numFmtId="0" fontId="1" fillId="7" borderId="70" xfId="11" applyFont="1" applyFill="1" applyBorder="1" applyAlignment="1" applyProtection="1">
      <alignment horizontal="center"/>
      <protection locked="0"/>
    </xf>
    <xf numFmtId="0" fontId="3" fillId="10" borderId="65" xfId="8" applyFont="1" applyFill="1" applyBorder="1" applyAlignment="1">
      <alignment horizontal="left" wrapText="1"/>
    </xf>
    <xf numFmtId="0" fontId="47" fillId="10" borderId="0" xfId="11" applyFont="1" applyFill="1" applyAlignment="1" applyProtection="1">
      <alignment horizontal="left" vertical="top" wrapText="1"/>
      <protection locked="0"/>
    </xf>
    <xf numFmtId="0" fontId="3" fillId="10" borderId="0" xfId="11" applyFont="1" applyFill="1" applyAlignment="1" applyProtection="1">
      <alignment horizontal="center"/>
    </xf>
    <xf numFmtId="0" fontId="3" fillId="10" borderId="0" xfId="11" applyNumberFormat="1" applyFont="1" applyFill="1" applyAlignment="1" applyProtection="1">
      <alignment horizontal="center"/>
    </xf>
    <xf numFmtId="5" fontId="3" fillId="10" borderId="0" xfId="11" applyNumberFormat="1" applyFont="1" applyFill="1" applyAlignment="1" applyProtection="1">
      <alignment horizontal="center"/>
      <protection locked="0"/>
    </xf>
    <xf numFmtId="0" fontId="1" fillId="18" borderId="27" xfId="11" applyFont="1" applyFill="1" applyBorder="1" applyAlignment="1" applyProtection="1">
      <alignment horizontal="left" vertical="top" wrapText="1"/>
      <protection locked="0"/>
    </xf>
    <xf numFmtId="0" fontId="1" fillId="18" borderId="28" xfId="11" applyFont="1" applyFill="1" applyBorder="1" applyAlignment="1" applyProtection="1">
      <alignment horizontal="left" vertical="top" wrapText="1"/>
      <protection locked="0"/>
    </xf>
    <xf numFmtId="0" fontId="1" fillId="18" borderId="30" xfId="11" applyFont="1" applyFill="1" applyBorder="1" applyAlignment="1" applyProtection="1">
      <alignment horizontal="left" vertical="top" wrapText="1"/>
      <protection locked="0"/>
    </xf>
    <xf numFmtId="0" fontId="1" fillId="18" borderId="51" xfId="11" applyFont="1" applyFill="1" applyBorder="1" applyAlignment="1" applyProtection="1">
      <alignment horizontal="left" vertical="top" wrapText="1"/>
      <protection locked="0"/>
    </xf>
    <xf numFmtId="0" fontId="1" fillId="18" borderId="0" xfId="11" applyFont="1" applyFill="1" applyBorder="1" applyAlignment="1" applyProtection="1">
      <alignment horizontal="left" vertical="top" wrapText="1"/>
      <protection locked="0"/>
    </xf>
    <xf numFmtId="0" fontId="1" fillId="18" borderId="31" xfId="11" applyFont="1" applyFill="1" applyBorder="1" applyAlignment="1" applyProtection="1">
      <alignment horizontal="left" vertical="top" wrapText="1"/>
      <protection locked="0"/>
    </xf>
    <xf numFmtId="0" fontId="1" fillId="18" borderId="32" xfId="11" applyFont="1" applyFill="1" applyBorder="1" applyAlignment="1" applyProtection="1">
      <alignment horizontal="left" vertical="top" wrapText="1"/>
      <protection locked="0"/>
    </xf>
    <xf numFmtId="0" fontId="1" fillId="18" borderId="26" xfId="11" applyFont="1" applyFill="1" applyBorder="1" applyAlignment="1" applyProtection="1">
      <alignment horizontal="left" vertical="top" wrapText="1"/>
      <protection locked="0"/>
    </xf>
    <xf numFmtId="0" fontId="1" fillId="18" borderId="34" xfId="11" applyFont="1" applyFill="1" applyBorder="1" applyAlignment="1" applyProtection="1">
      <alignment horizontal="left" vertical="top" wrapText="1"/>
      <protection locked="0"/>
    </xf>
    <xf numFmtId="0" fontId="1" fillId="0" borderId="1" xfId="11" applyFont="1" applyBorder="1" applyAlignment="1" applyProtection="1">
      <protection locked="0"/>
    </xf>
    <xf numFmtId="0" fontId="0" fillId="0" borderId="1" xfId="0" applyBorder="1" applyAlignment="1"/>
    <xf numFmtId="0" fontId="1" fillId="10" borderId="4" xfId="11" applyFont="1" applyFill="1" applyBorder="1" applyAlignment="1" applyProtection="1">
      <alignment horizontal="center"/>
      <protection locked="0"/>
    </xf>
    <xf numFmtId="0" fontId="1" fillId="10" borderId="0" xfId="11" applyFont="1" applyFill="1" applyBorder="1" applyAlignment="1" applyProtection="1">
      <alignment horizontal="left" wrapText="1"/>
      <protection locked="0"/>
    </xf>
    <xf numFmtId="0" fontId="1" fillId="0" borderId="18" xfId="11" applyFont="1" applyBorder="1" applyAlignment="1" applyProtection="1">
      <alignment horizontal="left"/>
      <protection locked="0"/>
    </xf>
    <xf numFmtId="0" fontId="1" fillId="0" borderId="17" xfId="11" applyFont="1" applyBorder="1" applyAlignment="1" applyProtection="1">
      <alignment horizontal="left"/>
      <protection locked="0"/>
    </xf>
    <xf numFmtId="0" fontId="1" fillId="0" borderId="19" xfId="11" applyFont="1" applyBorder="1" applyAlignment="1" applyProtection="1">
      <alignment horizontal="left"/>
      <protection locked="0"/>
    </xf>
    <xf numFmtId="5" fontId="14" fillId="7" borderId="0" xfId="11" applyNumberFormat="1" applyFont="1" applyFill="1" applyBorder="1" applyAlignment="1" applyProtection="1">
      <alignment horizontal="center"/>
      <protection locked="0"/>
    </xf>
    <xf numFmtId="0" fontId="1" fillId="0" borderId="1" xfId="11" applyFont="1" applyBorder="1" applyAlignment="1" applyProtection="1">
      <alignment horizontal="left"/>
      <protection locked="0"/>
    </xf>
    <xf numFmtId="0" fontId="3" fillId="17" borderId="1" xfId="11" applyFont="1" applyFill="1" applyBorder="1" applyAlignment="1" applyProtection="1">
      <alignment horizontal="center" wrapText="1"/>
      <protection locked="0"/>
    </xf>
    <xf numFmtId="0" fontId="1" fillId="10" borderId="0" xfId="11" applyFont="1" applyFill="1" applyBorder="1" applyAlignment="1" applyProtection="1">
      <alignment horizontal="left" vertical="center" wrapText="1"/>
      <protection locked="0"/>
    </xf>
    <xf numFmtId="0" fontId="1" fillId="10" borderId="10" xfId="11" applyFont="1" applyFill="1" applyBorder="1" applyAlignment="1" applyProtection="1">
      <alignment horizontal="left" vertical="center" wrapText="1"/>
      <protection locked="0"/>
    </xf>
    <xf numFmtId="0" fontId="1" fillId="10" borderId="0" xfId="11" applyFont="1" applyFill="1" applyBorder="1" applyAlignment="1" applyProtection="1">
      <alignment horizontal="left" vertical="top" wrapText="1"/>
      <protection locked="0"/>
    </xf>
    <xf numFmtId="0" fontId="1" fillId="0" borderId="11" xfId="11" applyFont="1" applyBorder="1" applyAlignment="1" applyProtection="1">
      <alignment horizontal="left" vertical="top" wrapText="1"/>
      <protection locked="0"/>
    </xf>
    <xf numFmtId="0" fontId="0" fillId="0" borderId="4" xfId="0" applyBorder="1" applyAlignment="1">
      <alignment horizontal="left" vertical="top" wrapText="1"/>
    </xf>
    <xf numFmtId="0" fontId="0" fillId="0" borderId="20" xfId="0" applyBorder="1" applyAlignment="1">
      <alignment horizontal="left" vertical="top" wrapText="1"/>
    </xf>
    <xf numFmtId="0" fontId="0" fillId="0" borderId="12" xfId="0" applyBorder="1" applyAlignment="1">
      <alignment horizontal="left" vertical="top" wrapText="1"/>
    </xf>
    <xf numFmtId="0" fontId="0" fillId="0" borderId="0" xfId="0" applyBorder="1" applyAlignment="1">
      <alignment horizontal="left" vertical="top" wrapText="1"/>
    </xf>
    <xf numFmtId="0" fontId="0" fillId="0" borderId="10" xfId="0" applyBorder="1" applyAlignment="1">
      <alignment horizontal="left" vertical="top" wrapText="1"/>
    </xf>
    <xf numFmtId="0" fontId="0" fillId="0" borderId="13" xfId="0" applyBorder="1" applyAlignment="1">
      <alignment horizontal="left" vertical="top" wrapText="1"/>
    </xf>
    <xf numFmtId="0" fontId="0" fillId="0" borderId="3" xfId="0" applyBorder="1" applyAlignment="1">
      <alignment horizontal="left" vertical="top" wrapText="1"/>
    </xf>
    <xf numFmtId="0" fontId="0" fillId="0" borderId="21" xfId="0" applyBorder="1" applyAlignment="1">
      <alignment horizontal="left" vertical="top" wrapText="1"/>
    </xf>
    <xf numFmtId="0" fontId="61" fillId="10" borderId="4" xfId="11" applyFont="1" applyFill="1" applyBorder="1" applyAlignment="1" applyProtection="1">
      <alignment horizontal="left" vertical="top" wrapText="1"/>
      <protection locked="0"/>
    </xf>
    <xf numFmtId="0" fontId="61" fillId="10" borderId="20" xfId="11" applyFont="1" applyFill="1" applyBorder="1" applyAlignment="1" applyProtection="1">
      <alignment horizontal="left" vertical="top" wrapText="1"/>
      <protection locked="0"/>
    </xf>
    <xf numFmtId="0" fontId="61" fillId="10" borderId="0" xfId="11" applyFont="1" applyFill="1" applyBorder="1" applyAlignment="1" applyProtection="1">
      <alignment horizontal="left" vertical="top" wrapText="1"/>
      <protection locked="0"/>
    </xf>
    <xf numFmtId="0" fontId="61" fillId="10" borderId="10" xfId="11" applyFont="1" applyFill="1" applyBorder="1" applyAlignment="1" applyProtection="1">
      <alignment horizontal="left" vertical="top" wrapText="1"/>
      <protection locked="0"/>
    </xf>
    <xf numFmtId="0" fontId="61" fillId="10" borderId="3" xfId="11" applyFont="1" applyFill="1" applyBorder="1" applyAlignment="1" applyProtection="1">
      <alignment horizontal="left" vertical="top" wrapText="1"/>
      <protection locked="0"/>
    </xf>
    <xf numFmtId="0" fontId="61" fillId="10" borderId="21" xfId="11" applyFont="1" applyFill="1" applyBorder="1" applyAlignment="1" applyProtection="1">
      <alignment horizontal="left" vertical="top" wrapText="1"/>
      <protection locked="0"/>
    </xf>
    <xf numFmtId="0" fontId="1" fillId="8" borderId="11" xfId="11" applyFont="1" applyFill="1" applyBorder="1" applyAlignment="1" applyProtection="1">
      <alignment horizontal="left" vertical="top"/>
      <protection locked="0"/>
    </xf>
    <xf numFmtId="0" fontId="1" fillId="10" borderId="3" xfId="11" applyFont="1" applyFill="1" applyBorder="1" applyAlignment="1" applyProtection="1">
      <alignment horizontal="left" vertical="center" wrapText="1"/>
      <protection locked="0"/>
    </xf>
    <xf numFmtId="0" fontId="43" fillId="10" borderId="0" xfId="7" applyFont="1" applyFill="1" applyBorder="1" applyAlignment="1" applyProtection="1">
      <alignment horizontal="left" vertical="center" wrapText="1"/>
      <protection locked="0"/>
    </xf>
    <xf numFmtId="0" fontId="1" fillId="10" borderId="0" xfId="11" applyFont="1" applyFill="1" applyBorder="1" applyAlignment="1" applyProtection="1">
      <alignment horizontal="left"/>
      <protection locked="0"/>
    </xf>
    <xf numFmtId="0" fontId="3" fillId="10" borderId="0" xfId="11" applyFont="1" applyFill="1" applyBorder="1" applyAlignment="1" applyProtection="1">
      <alignment horizontal="left" vertical="top" wrapText="1"/>
      <protection locked="0"/>
    </xf>
    <xf numFmtId="0" fontId="1" fillId="10" borderId="0" xfId="11" applyFont="1" applyFill="1" applyBorder="1" applyAlignment="1" applyProtection="1">
      <protection locked="0"/>
    </xf>
    <xf numFmtId="0" fontId="0" fillId="10" borderId="0" xfId="0" applyFill="1" applyBorder="1" applyAlignment="1" applyProtection="1"/>
    <xf numFmtId="0" fontId="1" fillId="18" borderId="18" xfId="11" applyFont="1" applyFill="1" applyBorder="1" applyAlignment="1" applyProtection="1">
      <alignment horizontal="left" vertical="top" wrapText="1"/>
      <protection locked="0"/>
    </xf>
    <xf numFmtId="0" fontId="1" fillId="18" borderId="17" xfId="11" applyFont="1" applyFill="1" applyBorder="1" applyAlignment="1" applyProtection="1">
      <alignment horizontal="left" vertical="top" wrapText="1"/>
      <protection locked="0"/>
    </xf>
    <xf numFmtId="0" fontId="1" fillId="18" borderId="19" xfId="11" applyFont="1" applyFill="1" applyBorder="1" applyAlignment="1" applyProtection="1">
      <alignment horizontal="left" vertical="top" wrapText="1"/>
      <protection locked="0"/>
    </xf>
    <xf numFmtId="0" fontId="61" fillId="10" borderId="11" xfId="11" applyFont="1" applyFill="1" applyBorder="1" applyAlignment="1" applyProtection="1">
      <alignment horizontal="left" vertical="top" wrapText="1"/>
      <protection locked="0"/>
    </xf>
    <xf numFmtId="0" fontId="61" fillId="10" borderId="13" xfId="11" applyFont="1" applyFill="1" applyBorder="1" applyAlignment="1" applyProtection="1">
      <alignment horizontal="left" vertical="top" wrapText="1"/>
      <protection locked="0"/>
    </xf>
    <xf numFmtId="0" fontId="3" fillId="13" borderId="17" xfId="11" applyFont="1" applyFill="1" applyBorder="1" applyAlignment="1" applyProtection="1">
      <alignment horizontal="left"/>
      <protection locked="0"/>
    </xf>
    <xf numFmtId="0" fontId="1" fillId="10" borderId="0" xfId="11" quotePrefix="1" applyFont="1" applyFill="1" applyBorder="1" applyAlignment="1" applyProtection="1">
      <alignment horizontal="left"/>
      <protection locked="0"/>
    </xf>
    <xf numFmtId="0" fontId="45" fillId="10" borderId="1" xfId="11" applyFont="1" applyFill="1" applyBorder="1" applyAlignment="1" applyProtection="1">
      <alignment horizontal="center" wrapText="1"/>
      <protection locked="0"/>
    </xf>
    <xf numFmtId="0" fontId="1" fillId="8" borderId="18" xfId="11" applyFont="1" applyFill="1" applyBorder="1" applyAlignment="1" applyProtection="1">
      <alignment horizontal="left" vertical="top" wrapText="1"/>
      <protection locked="0"/>
    </xf>
    <xf numFmtId="0" fontId="1" fillId="8" borderId="17" xfId="11" applyFont="1" applyFill="1" applyBorder="1" applyAlignment="1" applyProtection="1">
      <alignment horizontal="left" vertical="top" wrapText="1"/>
      <protection locked="0"/>
    </xf>
    <xf numFmtId="0" fontId="1" fillId="8" borderId="19" xfId="11" applyFont="1" applyFill="1" applyBorder="1" applyAlignment="1" applyProtection="1">
      <alignment horizontal="left" vertical="top" wrapText="1"/>
      <protection locked="0"/>
    </xf>
    <xf numFmtId="0" fontId="16" fillId="10" borderId="28" xfId="11" applyFont="1" applyFill="1" applyBorder="1" applyAlignment="1" applyProtection="1">
      <alignment horizontal="center"/>
      <protection locked="0"/>
    </xf>
    <xf numFmtId="0" fontId="1" fillId="10" borderId="0" xfId="11" applyFont="1" applyFill="1" applyBorder="1" applyAlignment="1" applyProtection="1">
      <alignment horizontal="left" vertical="top"/>
      <protection locked="0"/>
    </xf>
    <xf numFmtId="0" fontId="3" fillId="10" borderId="0" xfId="11" applyFont="1" applyFill="1" applyBorder="1" applyAlignment="1" applyProtection="1">
      <alignment horizontal="center" wrapText="1"/>
      <protection locked="0"/>
    </xf>
    <xf numFmtId="0" fontId="3" fillId="18" borderId="18" xfId="11" applyFont="1" applyFill="1" applyBorder="1" applyAlignment="1" applyProtection="1">
      <alignment horizontal="left" vertical="top" wrapText="1"/>
      <protection locked="0"/>
    </xf>
    <xf numFmtId="0" fontId="3" fillId="18" borderId="17" xfId="11" applyFont="1" applyFill="1" applyBorder="1" applyAlignment="1" applyProtection="1">
      <alignment horizontal="left" vertical="top" wrapText="1"/>
      <protection locked="0"/>
    </xf>
    <xf numFmtId="0" fontId="3" fillId="18" borderId="19" xfId="11" applyFont="1" applyFill="1" applyBorder="1" applyAlignment="1" applyProtection="1">
      <alignment horizontal="left" vertical="top" wrapText="1"/>
      <protection locked="0"/>
    </xf>
    <xf numFmtId="0" fontId="1" fillId="8" borderId="1" xfId="11" applyFont="1" applyFill="1" applyBorder="1" applyAlignment="1" applyProtection="1">
      <alignment horizontal="center" vertical="center" wrapText="1"/>
      <protection locked="0"/>
    </xf>
    <xf numFmtId="0" fontId="3" fillId="13" borderId="17" xfId="11" applyFont="1" applyFill="1" applyBorder="1" applyAlignment="1" applyProtection="1">
      <alignment horizontal="left" wrapText="1"/>
      <protection locked="0"/>
    </xf>
    <xf numFmtId="0" fontId="88" fillId="7" borderId="0" xfId="11" applyFont="1" applyFill="1" applyAlignment="1" applyProtection="1">
      <alignment horizontal="center"/>
      <protection locked="0"/>
    </xf>
    <xf numFmtId="0" fontId="88" fillId="7" borderId="0" xfId="8" applyFont="1" applyFill="1" applyAlignment="1" applyProtection="1">
      <alignment horizontal="center"/>
      <protection locked="0"/>
    </xf>
    <xf numFmtId="0" fontId="3" fillId="7" borderId="0" xfId="11" applyFont="1" applyFill="1" applyBorder="1" applyAlignment="1" applyProtection="1">
      <alignment horizontal="center" vertical="center"/>
      <protection locked="0"/>
    </xf>
    <xf numFmtId="0" fontId="2" fillId="7" borderId="0" xfId="8" applyFont="1" applyFill="1" applyBorder="1" applyAlignment="1" applyProtection="1">
      <alignment horizontal="center" vertical="center"/>
      <protection locked="0"/>
    </xf>
    <xf numFmtId="10" fontId="3" fillId="10" borderId="3" xfId="8" applyNumberFormat="1" applyFont="1" applyFill="1" applyBorder="1" applyAlignment="1" applyProtection="1">
      <alignment horizontal="center"/>
      <protection locked="0"/>
    </xf>
    <xf numFmtId="0" fontId="3" fillId="10" borderId="3" xfId="8" applyFont="1" applyFill="1" applyBorder="1" applyAlignment="1" applyProtection="1">
      <alignment horizontal="center"/>
      <protection locked="0"/>
    </xf>
    <xf numFmtId="0" fontId="24" fillId="10" borderId="0" xfId="8" applyFont="1" applyFill="1" applyBorder="1" applyAlignment="1" applyProtection="1">
      <alignment horizontal="center"/>
      <protection locked="0"/>
    </xf>
    <xf numFmtId="0" fontId="24" fillId="10" borderId="0" xfId="8" applyFont="1" applyFill="1" applyBorder="1" applyAlignment="1" applyProtection="1">
      <alignment horizontal="left"/>
      <protection locked="0"/>
    </xf>
    <xf numFmtId="0" fontId="3" fillId="10" borderId="0" xfId="8" applyFont="1" applyFill="1" applyBorder="1" applyAlignment="1" applyProtection="1">
      <protection locked="0"/>
    </xf>
    <xf numFmtId="0" fontId="3" fillId="10" borderId="67" xfId="8" applyFont="1" applyFill="1" applyBorder="1" applyAlignment="1" applyProtection="1">
      <alignment horizontal="center"/>
      <protection locked="0"/>
    </xf>
    <xf numFmtId="0" fontId="3" fillId="10" borderId="0" xfId="8" applyFont="1" applyFill="1" applyBorder="1" applyAlignment="1" applyProtection="1">
      <alignment horizontal="center"/>
      <protection locked="0"/>
    </xf>
    <xf numFmtId="0" fontId="3" fillId="10" borderId="68" xfId="8" applyFont="1" applyFill="1" applyBorder="1" applyAlignment="1" applyProtection="1">
      <alignment horizontal="center"/>
      <protection locked="0"/>
    </xf>
    <xf numFmtId="0" fontId="2" fillId="10" borderId="4" xfId="6" applyNumberFormat="1" applyFont="1" applyFill="1" applyBorder="1" applyAlignment="1" applyProtection="1">
      <alignment horizontal="right"/>
      <protection locked="0"/>
    </xf>
    <xf numFmtId="0" fontId="2" fillId="10" borderId="3" xfId="8" applyFont="1" applyFill="1" applyBorder="1" applyAlignment="1" applyProtection="1">
      <protection locked="0"/>
    </xf>
    <xf numFmtId="0" fontId="1" fillId="10" borderId="0" xfId="8" applyFont="1" applyFill="1" applyBorder="1" applyAlignment="1" applyProtection="1">
      <alignment horizontal="left" wrapText="1"/>
      <protection locked="0"/>
    </xf>
    <xf numFmtId="0" fontId="1" fillId="10" borderId="51" xfId="8" applyFont="1" applyFill="1" applyBorder="1" applyAlignment="1" applyProtection="1">
      <alignment horizontal="left" wrapText="1"/>
      <protection locked="0"/>
    </xf>
    <xf numFmtId="0" fontId="1" fillId="10" borderId="10" xfId="8" applyFont="1" applyFill="1" applyBorder="1" applyAlignment="1" applyProtection="1">
      <alignment horizontal="left" wrapText="1"/>
      <protection locked="0"/>
    </xf>
    <xf numFmtId="0" fontId="3" fillId="10" borderId="0" xfId="8" applyFont="1" applyFill="1" applyBorder="1" applyAlignment="1" applyProtection="1">
      <alignment horizontal="right"/>
      <protection locked="0"/>
    </xf>
    <xf numFmtId="0" fontId="1" fillId="10" borderId="11" xfId="11" applyFont="1" applyFill="1" applyBorder="1" applyAlignment="1" applyProtection="1">
      <alignment horizontal="left" vertical="center" wrapText="1"/>
      <protection locked="0"/>
    </xf>
    <xf numFmtId="0" fontId="1" fillId="10" borderId="20" xfId="11" applyFont="1" applyFill="1" applyBorder="1" applyAlignment="1" applyProtection="1">
      <alignment horizontal="left" vertical="center" wrapText="1"/>
      <protection locked="0"/>
    </xf>
    <xf numFmtId="0" fontId="1" fillId="10" borderId="12" xfId="11" applyFont="1" applyFill="1" applyBorder="1" applyAlignment="1" applyProtection="1">
      <alignment horizontal="left" vertical="center" wrapText="1"/>
      <protection locked="0"/>
    </xf>
    <xf numFmtId="0" fontId="1" fillId="10" borderId="13" xfId="11" applyFont="1" applyFill="1" applyBorder="1" applyAlignment="1" applyProtection="1">
      <alignment horizontal="left" vertical="center" wrapText="1"/>
      <protection locked="0"/>
    </xf>
    <xf numFmtId="0" fontId="1" fillId="10" borderId="21" xfId="11" applyFont="1" applyFill="1" applyBorder="1" applyAlignment="1" applyProtection="1">
      <alignment horizontal="left" vertical="center" wrapText="1"/>
      <protection locked="0"/>
    </xf>
    <xf numFmtId="0" fontId="3" fillId="10" borderId="0" xfId="11" applyFont="1" applyFill="1" applyBorder="1" applyAlignment="1" applyProtection="1">
      <protection locked="0"/>
    </xf>
    <xf numFmtId="0" fontId="1" fillId="10" borderId="0" xfId="8" applyFont="1" applyFill="1" applyBorder="1" applyAlignment="1" applyProtection="1">
      <protection locked="0"/>
    </xf>
    <xf numFmtId="0" fontId="3" fillId="7" borderId="0" xfId="11" applyNumberFormat="1" applyFont="1" applyFill="1" applyBorder="1" applyAlignment="1" applyProtection="1">
      <alignment horizontal="center"/>
      <protection locked="0"/>
    </xf>
    <xf numFmtId="0" fontId="3" fillId="7" borderId="0" xfId="8" applyNumberFormat="1" applyFont="1" applyFill="1" applyAlignment="1" applyProtection="1">
      <alignment horizontal="center"/>
      <protection locked="0"/>
    </xf>
    <xf numFmtId="0" fontId="3" fillId="7" borderId="0" xfId="11" applyFont="1" applyFill="1" applyBorder="1" applyAlignment="1" applyProtection="1">
      <alignment horizontal="center"/>
      <protection locked="0"/>
    </xf>
    <xf numFmtId="0" fontId="1" fillId="7" borderId="0" xfId="8" applyFont="1" applyFill="1" applyBorder="1" applyAlignment="1" applyProtection="1">
      <alignment horizontal="center"/>
      <protection locked="0"/>
    </xf>
    <xf numFmtId="0" fontId="1" fillId="8" borderId="11" xfId="8" applyFont="1" applyFill="1" applyBorder="1" applyAlignment="1" applyProtection="1">
      <alignment vertical="top" wrapText="1"/>
      <protection locked="0"/>
    </xf>
    <xf numFmtId="0" fontId="2" fillId="8" borderId="4" xfId="8" applyFont="1" applyFill="1" applyBorder="1" applyAlignment="1" applyProtection="1">
      <alignment vertical="top" wrapText="1"/>
      <protection locked="0"/>
    </xf>
    <xf numFmtId="0" fontId="2" fillId="8" borderId="20" xfId="8" applyFont="1" applyFill="1" applyBorder="1" applyAlignment="1" applyProtection="1">
      <alignment vertical="top" wrapText="1"/>
      <protection locked="0"/>
    </xf>
    <xf numFmtId="0" fontId="2" fillId="8" borderId="12" xfId="8" applyFont="1" applyFill="1" applyBorder="1" applyAlignment="1" applyProtection="1">
      <alignment vertical="top" wrapText="1"/>
      <protection locked="0"/>
    </xf>
    <xf numFmtId="0" fontId="2" fillId="8" borderId="0" xfId="8" applyFont="1" applyFill="1" applyBorder="1" applyAlignment="1" applyProtection="1">
      <alignment vertical="top" wrapText="1"/>
      <protection locked="0"/>
    </xf>
    <xf numFmtId="0" fontId="2" fillId="8" borderId="10" xfId="8" applyFont="1" applyFill="1" applyBorder="1" applyAlignment="1" applyProtection="1">
      <alignment vertical="top" wrapText="1"/>
      <protection locked="0"/>
    </xf>
    <xf numFmtId="0" fontId="2" fillId="8" borderId="13" xfId="8" applyFont="1" applyFill="1" applyBorder="1" applyAlignment="1" applyProtection="1">
      <alignment vertical="top" wrapText="1"/>
      <protection locked="0"/>
    </xf>
    <xf numFmtId="0" fontId="2" fillId="8" borderId="3" xfId="8" applyFont="1" applyFill="1" applyBorder="1" applyAlignment="1" applyProtection="1">
      <alignment vertical="top" wrapText="1"/>
      <protection locked="0"/>
    </xf>
    <xf numFmtId="0" fontId="2" fillId="8" borderId="21" xfId="8" applyFont="1" applyFill="1" applyBorder="1" applyAlignment="1" applyProtection="1">
      <alignment vertical="top" wrapText="1"/>
      <protection locked="0"/>
    </xf>
    <xf numFmtId="0" fontId="2" fillId="8" borderId="11" xfId="8" applyFont="1" applyFill="1" applyBorder="1" applyAlignment="1" applyProtection="1">
      <alignment vertical="top" wrapText="1"/>
      <protection locked="0"/>
    </xf>
    <xf numFmtId="0" fontId="3" fillId="10" borderId="0" xfId="8" applyFont="1" applyFill="1" applyBorder="1" applyAlignment="1" applyProtection="1">
      <alignment horizontal="left"/>
      <protection locked="0"/>
    </xf>
    <xf numFmtId="0" fontId="2" fillId="10" borderId="0" xfId="8" applyFont="1" applyFill="1" applyBorder="1" applyAlignment="1" applyProtection="1">
      <alignment horizontal="left"/>
      <protection locked="0"/>
    </xf>
    <xf numFmtId="0" fontId="1" fillId="7" borderId="0" xfId="11" applyFont="1" applyFill="1" applyAlignment="1" applyProtection="1">
      <alignment horizontal="center"/>
      <protection locked="0"/>
    </xf>
    <xf numFmtId="0" fontId="1" fillId="7" borderId="0" xfId="8" applyFont="1" applyFill="1" applyAlignment="1" applyProtection="1">
      <alignment horizontal="center"/>
      <protection locked="0"/>
    </xf>
    <xf numFmtId="0" fontId="1" fillId="8" borderId="1" xfId="8" applyFont="1" applyFill="1" applyBorder="1" applyAlignment="1" applyProtection="1">
      <alignment horizontal="left"/>
      <protection locked="0"/>
    </xf>
    <xf numFmtId="0" fontId="2" fillId="8" borderId="1" xfId="8" applyFont="1" applyFill="1" applyBorder="1" applyAlignment="1" applyProtection="1">
      <alignment horizontal="left"/>
      <protection locked="0"/>
    </xf>
    <xf numFmtId="0" fontId="1" fillId="0" borderId="0" xfId="8" applyFont="1" applyAlignment="1">
      <alignment horizontal="left" wrapText="1" indent="3"/>
    </xf>
    <xf numFmtId="0" fontId="1" fillId="0" borderId="0" xfId="8" applyFont="1" applyAlignment="1">
      <alignment wrapText="1"/>
    </xf>
    <xf numFmtId="0" fontId="3" fillId="0" borderId="0" xfId="8" applyFont="1" applyAlignment="1">
      <alignment wrapText="1"/>
    </xf>
    <xf numFmtId="0" fontId="72" fillId="0" borderId="11" xfId="8" applyFont="1" applyBorder="1" applyAlignment="1">
      <alignment horizontal="center" vertical="center"/>
    </xf>
    <xf numFmtId="0" fontId="72" fillId="0" borderId="20" xfId="8" applyFont="1" applyBorder="1" applyAlignment="1">
      <alignment horizontal="center" vertical="center"/>
    </xf>
    <xf numFmtId="0" fontId="3" fillId="0" borderId="12" xfId="8" applyFont="1" applyFill="1" applyBorder="1" applyAlignment="1" applyProtection="1">
      <alignment horizontal="center" vertical="center"/>
      <protection hidden="1"/>
    </xf>
    <xf numFmtId="0" fontId="3" fillId="0" borderId="63" xfId="8" applyFont="1" applyFill="1" applyBorder="1" applyAlignment="1" applyProtection="1">
      <alignment horizontal="center" vertical="center"/>
      <protection hidden="1"/>
    </xf>
    <xf numFmtId="0" fontId="3" fillId="7" borderId="10" xfId="8" applyFont="1" applyFill="1" applyBorder="1" applyAlignment="1" applyProtection="1">
      <alignment horizontal="center" vertical="center"/>
      <protection hidden="1"/>
    </xf>
    <xf numFmtId="0" fontId="3" fillId="7" borderId="33" xfId="8" applyFont="1" applyFill="1" applyBorder="1" applyAlignment="1" applyProtection="1">
      <alignment horizontal="center" vertical="center"/>
      <protection hidden="1"/>
    </xf>
    <xf numFmtId="0" fontId="37" fillId="10" borderId="12" xfId="8" applyFont="1" applyFill="1" applyBorder="1" applyAlignment="1" applyProtection="1">
      <alignment horizontal="center" vertical="top" wrapText="1"/>
      <protection locked="0"/>
    </xf>
    <xf numFmtId="0" fontId="21" fillId="10" borderId="10" xfId="8" applyFont="1" applyFill="1" applyBorder="1" applyAlignment="1" applyProtection="1">
      <alignment horizontal="center"/>
      <protection locked="0"/>
    </xf>
    <xf numFmtId="0" fontId="37" fillId="10" borderId="12" xfId="8" applyFont="1" applyFill="1" applyBorder="1" applyAlignment="1" applyProtection="1">
      <alignment horizontal="left" vertical="top" wrapText="1"/>
      <protection locked="0"/>
    </xf>
    <xf numFmtId="0" fontId="21" fillId="10" borderId="10" xfId="8" applyFont="1" applyFill="1" applyBorder="1" applyAlignment="1" applyProtection="1">
      <alignment horizontal="left"/>
      <protection locked="0"/>
    </xf>
    <xf numFmtId="0" fontId="38" fillId="10" borderId="18" xfId="7" applyFont="1" applyFill="1" applyBorder="1" applyAlignment="1" applyProtection="1">
      <alignment horizontal="center" vertical="center" wrapText="1"/>
      <protection locked="0"/>
    </xf>
    <xf numFmtId="0" fontId="38" fillId="10" borderId="19" xfId="7" applyFont="1" applyFill="1" applyBorder="1" applyAlignment="1" applyProtection="1">
      <alignment horizontal="center" vertical="center" wrapText="1"/>
      <protection locked="0"/>
    </xf>
    <xf numFmtId="0" fontId="38" fillId="10" borderId="13" xfId="7" applyFont="1" applyFill="1" applyBorder="1" applyAlignment="1" applyProtection="1">
      <alignment horizontal="center" vertical="center" wrapText="1"/>
      <protection locked="0"/>
    </xf>
    <xf numFmtId="0" fontId="38" fillId="10" borderId="21" xfId="7" applyFont="1" applyFill="1" applyBorder="1" applyAlignment="1" applyProtection="1">
      <alignment horizontal="center" vertical="center" wrapText="1"/>
      <protection locked="0"/>
    </xf>
    <xf numFmtId="0" fontId="1" fillId="0" borderId="0" xfId="8" applyProtection="1">
      <protection locked="0"/>
    </xf>
  </cellXfs>
  <cellStyles count="13">
    <cellStyle name="60% - Accent5" xfId="1" builtinId="48"/>
    <cellStyle name="Comma" xfId="2" builtinId="3"/>
    <cellStyle name="Comma 2" xfId="3"/>
    <cellStyle name="Currency" xfId="4" builtinId="4"/>
    <cellStyle name="Currency 2" xfId="5"/>
    <cellStyle name="Currency_Rate Case AB  Attachments &amp; Formulas TY2000" xfId="6"/>
    <cellStyle name="Hyperlink" xfId="7" builtinId="8"/>
    <cellStyle name="Normal" xfId="0" builtinId="0"/>
    <cellStyle name="Normal 2" xfId="8"/>
    <cellStyle name="Normal 2 2" xfId="9"/>
    <cellStyle name="Normal 3" xfId="10"/>
    <cellStyle name="Normal_Rate Case AB  Attachments &amp; Formulas TY2000" xfId="11"/>
    <cellStyle name="Percent 2" xfId="12"/>
  </cellStyles>
  <dxfs count="62">
    <dxf>
      <fill>
        <patternFill>
          <bgColor theme="0"/>
        </patternFill>
      </fill>
      <border>
        <left style="thin">
          <color indexed="64"/>
        </left>
        <right style="thin">
          <color indexed="64"/>
        </right>
        <top style="thin">
          <color indexed="64"/>
        </top>
        <bottom style="thin">
          <color indexed="64"/>
        </bottom>
      </border>
    </dxf>
    <dxf>
      <font>
        <strike val="0"/>
        <color theme="8" tint="0.39994506668294322"/>
      </font>
      <fill>
        <patternFill>
          <bgColor theme="8" tint="0.39994506668294322"/>
        </patternFill>
      </fill>
      <border>
        <left style="thin">
          <color theme="8" tint="0.39994506668294322"/>
        </left>
        <top style="thin">
          <color theme="8" tint="0.39994506668294322"/>
        </top>
        <bottom style="thin">
          <color theme="8" tint="0.39994506668294322"/>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1"/>
        </patternFill>
      </fill>
    </dxf>
    <dxf>
      <fill>
        <patternFill>
          <bgColor rgb="FF61FF61"/>
        </patternFill>
      </fill>
    </dxf>
    <dxf>
      <fill>
        <patternFill>
          <bgColor rgb="FF61FF61"/>
        </patternFill>
      </fill>
    </dxf>
    <dxf>
      <fill>
        <patternFill>
          <bgColor rgb="FF61FF61"/>
        </patternFill>
      </fill>
    </dxf>
    <dxf>
      <fill>
        <patternFill>
          <bgColor rgb="FF61FF61"/>
        </patternFill>
      </fill>
    </dxf>
    <dxf>
      <fill>
        <patternFill>
          <bgColor rgb="FF61FF61"/>
        </patternFill>
      </fill>
    </dxf>
    <dxf>
      <fill>
        <patternFill>
          <bgColor rgb="FF61FF61"/>
        </patternFill>
      </fill>
    </dxf>
    <dxf>
      <fill>
        <patternFill>
          <bgColor rgb="FF66FF66"/>
        </patternFill>
      </fill>
    </dxf>
    <dxf>
      <fill>
        <patternFill>
          <bgColor rgb="FF66FF66"/>
        </patternFill>
      </fill>
    </dxf>
    <dxf>
      <fill>
        <patternFill>
          <bgColor rgb="FF61FF61"/>
        </patternFill>
      </fill>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8" tint="0.39994506668294322"/>
      </font>
      <fill>
        <patternFill>
          <bgColor theme="8" tint="0.39994506668294322"/>
        </patternFill>
      </fill>
      <border>
        <left/>
        <right/>
        <top/>
        <bottom/>
      </border>
    </dxf>
    <dxf>
      <font>
        <color theme="8" tint="0.39994506668294322"/>
      </font>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patternType="solid">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s>
  <tableStyles count="1" defaultTableStyle="TableStyleMedium2" defaultPivotStyle="PivotStyleLight16">
    <tableStyle name="Table Style 1"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978C9E23-D4B0-11CE-BF2D-00AA003F40D0}" ax:persistence="persistStreamInit" r:id="rId1"/>
</file>

<file path=xl/activeX/activeX14.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978C9E23-D4B0-11CE-BF2D-00AA003F40D0}" ax:persistence="persistStreamInit" r:id="rId1"/>
</file>

<file path=xl/activeX/activeX16.xml><?xml version="1.0" encoding="utf-8"?>
<ax:ocx xmlns:ax="http://schemas.microsoft.com/office/2006/activeX" xmlns:r="http://schemas.openxmlformats.org/officeDocument/2006/relationships" ax:classid="{978C9E23-D4B0-11CE-BF2D-00AA003F40D0}"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978C9E23-D4B0-11CE-BF2D-00AA003F40D0}"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978C9E23-D4B0-11CE-BF2D-00AA003F40D0}"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Radio" checked="Checked" firstButton="1" fmlaLink="$T$11"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5.emf"/><Relationship Id="rId5" Type="http://schemas.openxmlformats.org/officeDocument/2006/relationships/image" Target="../media/image1.emf"/><Relationship Id="rId4"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emf"/><Relationship Id="rId1" Type="http://schemas.openxmlformats.org/officeDocument/2006/relationships/image" Target="../media/image15.emf"/><Relationship Id="rId4" Type="http://schemas.openxmlformats.org/officeDocument/2006/relationships/image" Target="../media/image12.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7.emf"/><Relationship Id="rId1" Type="http://schemas.openxmlformats.org/officeDocument/2006/relationships/image" Target="../media/image1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7.emf"/><Relationship Id="rId1" Type="http://schemas.openxmlformats.org/officeDocument/2006/relationships/image" Target="../media/image8.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6.v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7.emf"/><Relationship Id="rId1" Type="http://schemas.openxmlformats.org/officeDocument/2006/relationships/image" Target="../media/image28.emf"/><Relationship Id="rId5" Type="http://schemas.openxmlformats.org/officeDocument/2006/relationships/image" Target="../media/image24.emf"/><Relationship Id="rId4"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8</xdr:row>
          <xdr:rowOff>137160</xdr:rowOff>
        </xdr:from>
        <xdr:to>
          <xdr:col>4</xdr:col>
          <xdr:colOff>0</xdr:colOff>
          <xdr:row>10</xdr:row>
          <xdr:rowOff>7620</xdr:rowOff>
        </xdr:to>
        <xdr:sp macro="" textlink="">
          <xdr:nvSpPr>
            <xdr:cNvPr id="1025" name="txtYear" hidden="1">
              <a:extLst>
                <a:ext uri="{63B3BB69-23CF-44E3-9099-C40C66FF867C}">
                  <a14:compatExt spid="_x0000_s1025"/>
                </a:ext>
                <a:ext uri="{FF2B5EF4-FFF2-40B4-BE49-F238E27FC236}">
                  <a16:creationId xmlns:a16="http://schemas.microsoft.com/office/drawing/2014/main" id="{9508A225-F7DE-BED3-DDE3-9DD54E900D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7620</xdr:rowOff>
        </xdr:from>
        <xdr:to>
          <xdr:col>8</xdr:col>
          <xdr:colOff>373380</xdr:colOff>
          <xdr:row>8</xdr:row>
          <xdr:rowOff>129540</xdr:rowOff>
        </xdr:to>
        <xdr:sp macro="" textlink="">
          <xdr:nvSpPr>
            <xdr:cNvPr id="1026" name="cboUtilName" hidden="1">
              <a:extLst>
                <a:ext uri="{63B3BB69-23CF-44E3-9099-C40C66FF867C}">
                  <a14:compatExt spid="_x0000_s1026"/>
                </a:ext>
                <a:ext uri="{FF2B5EF4-FFF2-40B4-BE49-F238E27FC236}">
                  <a16:creationId xmlns:a16="http://schemas.microsoft.com/office/drawing/2014/main" id="{BDD8E659-804A-DB03-D49A-00F75CDDD4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22860</xdr:rowOff>
        </xdr:from>
        <xdr:to>
          <xdr:col>5</xdr:col>
          <xdr:colOff>449580</xdr:colOff>
          <xdr:row>13</xdr:row>
          <xdr:rowOff>30480</xdr:rowOff>
        </xdr:to>
        <xdr:sp macro="" textlink="">
          <xdr:nvSpPr>
            <xdr:cNvPr id="1027" name="cmdOK" hidden="1">
              <a:extLst>
                <a:ext uri="{63B3BB69-23CF-44E3-9099-C40C66FF867C}">
                  <a14:compatExt spid="_x0000_s1027"/>
                </a:ext>
                <a:ext uri="{FF2B5EF4-FFF2-40B4-BE49-F238E27FC236}">
                  <a16:creationId xmlns:a16="http://schemas.microsoft.com/office/drawing/2014/main" id="{CA26DD57-5F25-0F70-F022-182AAF39735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xdr:row>
          <xdr:rowOff>160020</xdr:rowOff>
        </xdr:from>
        <xdr:to>
          <xdr:col>4</xdr:col>
          <xdr:colOff>160020</xdr:colOff>
          <xdr:row>6</xdr:row>
          <xdr:rowOff>114300</xdr:rowOff>
        </xdr:to>
        <xdr:sp macro="" textlink="">
          <xdr:nvSpPr>
            <xdr:cNvPr id="1028" name="cboClass" hidden="1">
              <a:extLst>
                <a:ext uri="{63B3BB69-23CF-44E3-9099-C40C66FF867C}">
                  <a14:compatExt spid="_x0000_s1028"/>
                </a:ext>
                <a:ext uri="{FF2B5EF4-FFF2-40B4-BE49-F238E27FC236}">
                  <a16:creationId xmlns:a16="http://schemas.microsoft.com/office/drawing/2014/main" id="{4799498B-55D9-4082-967E-9D87005246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xdr:row>
          <xdr:rowOff>68580</xdr:rowOff>
        </xdr:from>
        <xdr:to>
          <xdr:col>5</xdr:col>
          <xdr:colOff>365760</xdr:colOff>
          <xdr:row>3</xdr:row>
          <xdr:rowOff>60960</xdr:rowOff>
        </xdr:to>
        <xdr:sp macro="" textlink="">
          <xdr:nvSpPr>
            <xdr:cNvPr id="1029" name="cmdStart" hidden="1">
              <a:extLst>
                <a:ext uri="{63B3BB69-23CF-44E3-9099-C40C66FF867C}">
                  <a14:compatExt spid="_x0000_s1029"/>
                </a:ext>
                <a:ext uri="{FF2B5EF4-FFF2-40B4-BE49-F238E27FC236}">
                  <a16:creationId xmlns:a16="http://schemas.microsoft.com/office/drawing/2014/main" id="{F69F484B-F35F-25B8-1D24-6629A65AD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845820</xdr:colOff>
          <xdr:row>14</xdr:row>
          <xdr:rowOff>137160</xdr:rowOff>
        </xdr:from>
        <xdr:to>
          <xdr:col>8</xdr:col>
          <xdr:colOff>274320</xdr:colOff>
          <xdr:row>18</xdr:row>
          <xdr:rowOff>22860</xdr:rowOff>
        </xdr:to>
        <xdr:sp macro="" textlink="">
          <xdr:nvSpPr>
            <xdr:cNvPr id="1030" name="Button 6" hidden="1">
              <a:extLst>
                <a:ext uri="{63B3BB69-23CF-44E3-9099-C40C66FF867C}">
                  <a14:compatExt spid="_x0000_s1030"/>
                </a:ext>
                <a:ext uri="{FF2B5EF4-FFF2-40B4-BE49-F238E27FC236}">
                  <a16:creationId xmlns:a16="http://schemas.microsoft.com/office/drawing/2014/main" id="{C983C7D2-AB0A-FD13-BE7E-BAE4842112B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Lock Down Spreadsheet for Utility Use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358140</xdr:colOff>
          <xdr:row>21</xdr:row>
          <xdr:rowOff>91440</xdr:rowOff>
        </xdr:from>
        <xdr:to>
          <xdr:col>7</xdr:col>
          <xdr:colOff>419100</xdr:colOff>
          <xdr:row>25</xdr:row>
          <xdr:rowOff>22860</xdr:rowOff>
        </xdr:to>
        <xdr:sp macro="" textlink="">
          <xdr:nvSpPr>
            <xdr:cNvPr id="1031" name="Button 7" hidden="1">
              <a:extLst>
                <a:ext uri="{63B3BB69-23CF-44E3-9099-C40C66FF867C}">
                  <a14:compatExt spid="_x0000_s1031"/>
                </a:ext>
                <a:ext uri="{FF2B5EF4-FFF2-40B4-BE49-F238E27FC236}">
                  <a16:creationId xmlns:a16="http://schemas.microsoft.com/office/drawing/2014/main" id="{8C28E756-F5AD-3983-1F0A-584EBF61575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1" i="0" u="none" strike="noStrike" baseline="0">
                  <a:solidFill>
                    <a:srgbClr val="000000"/>
                  </a:solidFill>
                  <a:latin typeface="Calibri"/>
                  <a:cs typeface="Calibri"/>
                </a:rPr>
                <a:t>Export to PSC Tool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350520</xdr:colOff>
          <xdr:row>26</xdr:row>
          <xdr:rowOff>160020</xdr:rowOff>
        </xdr:from>
        <xdr:to>
          <xdr:col>7</xdr:col>
          <xdr:colOff>403860</xdr:colOff>
          <xdr:row>30</xdr:row>
          <xdr:rowOff>76200</xdr:rowOff>
        </xdr:to>
        <xdr:sp macro="" textlink="">
          <xdr:nvSpPr>
            <xdr:cNvPr id="1035" name="Button 11" hidden="1">
              <a:extLst>
                <a:ext uri="{63B3BB69-23CF-44E3-9099-C40C66FF867C}">
                  <a14:compatExt spid="_x0000_s1035"/>
                </a:ext>
                <a:ext uri="{FF2B5EF4-FFF2-40B4-BE49-F238E27FC236}">
                  <a16:creationId xmlns:a16="http://schemas.microsoft.com/office/drawing/2014/main" id="{C9101D0E-7FD2-A0CB-6AF7-ADEE96696EF6}"/>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2200" b="0" i="0" u="none" strike="noStrike" baseline="0">
                  <a:solidFill>
                    <a:srgbClr val="000000"/>
                  </a:solidFill>
                  <a:latin typeface="Calibri"/>
                  <a:cs typeface="Calibri"/>
                </a:rPr>
                <a:t>Create Step II</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83820</xdr:rowOff>
        </xdr:from>
        <xdr:to>
          <xdr:col>3</xdr:col>
          <xdr:colOff>350520</xdr:colOff>
          <xdr:row>1</xdr:row>
          <xdr:rowOff>22860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7B13AF5B-4A54-0C71-8A02-68FA75B91CF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929640</xdr:colOff>
          <xdr:row>68</xdr:row>
          <xdr:rowOff>175260</xdr:rowOff>
        </xdr:from>
        <xdr:to>
          <xdr:col>14</xdr:col>
          <xdr:colOff>30480</xdr:colOff>
          <xdr:row>71</xdr:row>
          <xdr:rowOff>76200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40A7ED34-30CD-50C0-8242-50612E13301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350520</xdr:colOff>
          <xdr:row>0</xdr:row>
          <xdr:rowOff>99060</xdr:rowOff>
        </xdr:from>
        <xdr:to>
          <xdr:col>14</xdr:col>
          <xdr:colOff>7620</xdr:colOff>
          <xdr:row>1</xdr:row>
          <xdr:rowOff>60960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C600B680-1AD0-C50A-E531-10CFCCCD2349}"/>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800100</xdr:colOff>
          <xdr:row>0</xdr:row>
          <xdr:rowOff>83820</xdr:rowOff>
        </xdr:from>
        <xdr:to>
          <xdr:col>12</xdr:col>
          <xdr:colOff>30480</xdr:colOff>
          <xdr:row>1</xdr:row>
          <xdr:rowOff>76200</xdr:rowOff>
        </xdr:to>
        <xdr:sp macro="" textlink="">
          <xdr:nvSpPr>
            <xdr:cNvPr id="166125" name="Button 237" hidden="1">
              <a:extLst>
                <a:ext uri="{63B3BB69-23CF-44E3-9099-C40C66FF867C}">
                  <a14:compatExt spid="_x0000_s166125"/>
                </a:ext>
                <a:ext uri="{FF2B5EF4-FFF2-40B4-BE49-F238E27FC236}">
                  <a16:creationId xmlns:a16="http://schemas.microsoft.com/office/drawing/2014/main" id="{D55D7507-69BA-5CEE-5DEA-D30BCA425ECB}"/>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0</xdr:row>
          <xdr:rowOff>83820</xdr:rowOff>
        </xdr:from>
        <xdr:to>
          <xdr:col>1</xdr:col>
          <xdr:colOff>792480</xdr:colOff>
          <xdr:row>1</xdr:row>
          <xdr:rowOff>91440</xdr:rowOff>
        </xdr:to>
        <xdr:sp macro="" textlink="">
          <xdr:nvSpPr>
            <xdr:cNvPr id="166126" name="Button 238" hidden="1">
              <a:extLst>
                <a:ext uri="{63B3BB69-23CF-44E3-9099-C40C66FF867C}">
                  <a14:compatExt spid="_x0000_s166126"/>
                </a:ext>
                <a:ext uri="{FF2B5EF4-FFF2-40B4-BE49-F238E27FC236}">
                  <a16:creationId xmlns:a16="http://schemas.microsoft.com/office/drawing/2014/main" id="{598A4DDA-3CD5-872C-EC2F-87E3A612201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114300</xdr:rowOff>
        </xdr:from>
        <xdr:to>
          <xdr:col>2</xdr:col>
          <xdr:colOff>289560</xdr:colOff>
          <xdr:row>2</xdr:row>
          <xdr:rowOff>38100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B4D71809-AC76-B32D-5D4E-2F1F6D31F97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876300</xdr:colOff>
          <xdr:row>63</xdr:row>
          <xdr:rowOff>129540</xdr:rowOff>
        </xdr:from>
        <xdr:to>
          <xdr:col>9</xdr:col>
          <xdr:colOff>30480</xdr:colOff>
          <xdr:row>66</xdr:row>
          <xdr:rowOff>38100</xdr:rowOff>
        </xdr:to>
        <xdr:sp macro="" textlink="">
          <xdr:nvSpPr>
            <xdr:cNvPr id="9218" name="Button 2" hidden="1">
              <a:extLst>
                <a:ext uri="{63B3BB69-23CF-44E3-9099-C40C66FF867C}">
                  <a14:compatExt spid="_x0000_s9218"/>
                </a:ext>
                <a:ext uri="{FF2B5EF4-FFF2-40B4-BE49-F238E27FC236}">
                  <a16:creationId xmlns:a16="http://schemas.microsoft.com/office/drawing/2014/main" id="{39E11027-7E6B-3D75-D3C1-B1ED4B8D8F9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205740</xdr:colOff>
          <xdr:row>14</xdr:row>
          <xdr:rowOff>114300</xdr:rowOff>
        </xdr:from>
        <xdr:to>
          <xdr:col>5</xdr:col>
          <xdr:colOff>91440</xdr:colOff>
          <xdr:row>17</xdr:row>
          <xdr:rowOff>83820</xdr:rowOff>
        </xdr:to>
        <xdr:sp macro="" textlink="">
          <xdr:nvSpPr>
            <xdr:cNvPr id="9219" name="CommandButton1" hidden="1">
              <a:extLst>
                <a:ext uri="{63B3BB69-23CF-44E3-9099-C40C66FF867C}">
                  <a14:compatExt spid="_x0000_s9219"/>
                </a:ext>
                <a:ext uri="{FF2B5EF4-FFF2-40B4-BE49-F238E27FC236}">
                  <a16:creationId xmlns:a16="http://schemas.microsoft.com/office/drawing/2014/main" id="{2C4F9B6C-773F-CCFA-5271-DB2DA07B862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0</xdr:row>
          <xdr:rowOff>137160</xdr:rowOff>
        </xdr:from>
        <xdr:to>
          <xdr:col>9</xdr:col>
          <xdr:colOff>22860</xdr:colOff>
          <xdr:row>2</xdr:row>
          <xdr:rowOff>7620</xdr:rowOff>
        </xdr:to>
        <xdr:sp macro="" textlink="">
          <xdr:nvSpPr>
            <xdr:cNvPr id="9221" name="Button 5" hidden="1">
              <a:extLst>
                <a:ext uri="{63B3BB69-23CF-44E3-9099-C40C66FF867C}">
                  <a14:compatExt spid="_x0000_s9221"/>
                </a:ext>
                <a:ext uri="{FF2B5EF4-FFF2-40B4-BE49-F238E27FC236}">
                  <a16:creationId xmlns:a16="http://schemas.microsoft.com/office/drawing/2014/main" id="{C3D54D94-26F3-855B-866A-A132E84E58BC}"/>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76200</xdr:rowOff>
        </xdr:from>
        <xdr:to>
          <xdr:col>2</xdr:col>
          <xdr:colOff>190500</xdr:colOff>
          <xdr:row>2</xdr:row>
          <xdr:rowOff>106680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D28C653E-2F25-2E3E-4307-39DCD0EA3AA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838200</xdr:colOff>
          <xdr:row>95</xdr:row>
          <xdr:rowOff>167640</xdr:rowOff>
        </xdr:from>
        <xdr:to>
          <xdr:col>11</xdr:col>
          <xdr:colOff>7620</xdr:colOff>
          <xdr:row>98</xdr:row>
          <xdr:rowOff>121920</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36DC09AF-1E07-6F21-9DCE-BF6B6282D2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30</xdr:row>
          <xdr:rowOff>45720</xdr:rowOff>
        </xdr:from>
        <xdr:to>
          <xdr:col>4</xdr:col>
          <xdr:colOff>708660</xdr:colOff>
          <xdr:row>34</xdr:row>
          <xdr:rowOff>30480</xdr:rowOff>
        </xdr:to>
        <xdr:sp macro="" textlink="">
          <xdr:nvSpPr>
            <xdr:cNvPr id="10243" name="CommandButton1" hidden="1">
              <a:extLst>
                <a:ext uri="{63B3BB69-23CF-44E3-9099-C40C66FF867C}">
                  <a14:compatExt spid="_x0000_s10243"/>
                </a:ext>
                <a:ext uri="{FF2B5EF4-FFF2-40B4-BE49-F238E27FC236}">
                  <a16:creationId xmlns:a16="http://schemas.microsoft.com/office/drawing/2014/main" id="{3D932D11-350E-58FE-93CB-C0F809F87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106680</xdr:colOff>
          <xdr:row>0</xdr:row>
          <xdr:rowOff>76200</xdr:rowOff>
        </xdr:from>
        <xdr:to>
          <xdr:col>11</xdr:col>
          <xdr:colOff>7620</xdr:colOff>
          <xdr:row>2</xdr:row>
          <xdr:rowOff>76200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4307C0D0-8602-E28E-A267-3B4B9A87B856}"/>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xdr:row>
          <xdr:rowOff>7620</xdr:rowOff>
        </xdr:from>
        <xdr:to>
          <xdr:col>1</xdr:col>
          <xdr:colOff>861060</xdr:colOff>
          <xdr:row>5</xdr:row>
          <xdr:rowOff>76200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BACBB546-A035-396A-8D1D-9A329158646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739140</xdr:colOff>
          <xdr:row>63</xdr:row>
          <xdr:rowOff>144780</xdr:rowOff>
        </xdr:from>
        <xdr:to>
          <xdr:col>10</xdr:col>
          <xdr:colOff>7620</xdr:colOff>
          <xdr:row>66</xdr:row>
          <xdr:rowOff>76200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49B94605-3AB9-D492-0FEA-37752789C59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198120</xdr:colOff>
          <xdr:row>3</xdr:row>
          <xdr:rowOff>76200</xdr:rowOff>
        </xdr:from>
        <xdr:to>
          <xdr:col>10</xdr:col>
          <xdr:colOff>7620</xdr:colOff>
          <xdr:row>5</xdr:row>
          <xdr:rowOff>76200</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9750828F-4BC8-FA95-05A2-CE05C96B427F}"/>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30480</xdr:colOff>
          <xdr:row>3</xdr:row>
          <xdr:rowOff>38100</xdr:rowOff>
        </xdr:from>
        <xdr:to>
          <xdr:col>2</xdr:col>
          <xdr:colOff>205740</xdr:colOff>
          <xdr:row>5</xdr:row>
          <xdr:rowOff>76200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307F0BE3-622B-FE0B-EADB-77F1D055C32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922020</xdr:colOff>
          <xdr:row>74</xdr:row>
          <xdr:rowOff>106680</xdr:rowOff>
        </xdr:from>
        <xdr:to>
          <xdr:col>9</xdr:col>
          <xdr:colOff>30480</xdr:colOff>
          <xdr:row>77</xdr:row>
          <xdr:rowOff>99060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D4152196-FFEA-A495-E00E-FE7AF047B08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297180</xdr:colOff>
          <xdr:row>3</xdr:row>
          <xdr:rowOff>60960</xdr:rowOff>
        </xdr:from>
        <xdr:to>
          <xdr:col>9</xdr:col>
          <xdr:colOff>7620</xdr:colOff>
          <xdr:row>5</xdr:row>
          <xdr:rowOff>76200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AC8A70F5-4ACD-B0CF-DAEF-B515D67DD3B1}"/>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579120</xdr:colOff>
          <xdr:row>3</xdr:row>
          <xdr:rowOff>22860</xdr:rowOff>
        </xdr:from>
        <xdr:to>
          <xdr:col>2</xdr:col>
          <xdr:colOff>381000</xdr:colOff>
          <xdr:row>5</xdr:row>
          <xdr:rowOff>60960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B0CBF478-4FB0-4BAC-75B1-986C24C8A38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830580</xdr:colOff>
          <xdr:row>54</xdr:row>
          <xdr:rowOff>114300</xdr:rowOff>
        </xdr:from>
        <xdr:to>
          <xdr:col>10</xdr:col>
          <xdr:colOff>22860</xdr:colOff>
          <xdr:row>57</xdr:row>
          <xdr:rowOff>76200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1875AB7A-0AF9-1B3E-CA5B-04B0F1D313B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281940</xdr:colOff>
          <xdr:row>3</xdr:row>
          <xdr:rowOff>91440</xdr:rowOff>
        </xdr:from>
        <xdr:to>
          <xdr:col>10</xdr:col>
          <xdr:colOff>7620</xdr:colOff>
          <xdr:row>5</xdr:row>
          <xdr:rowOff>60960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9B3D0424-4ABC-F3E4-E2FA-2735252DC121}"/>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xdr:colOff>
          <xdr:row>3</xdr:row>
          <xdr:rowOff>68580</xdr:rowOff>
        </xdr:from>
        <xdr:to>
          <xdr:col>2</xdr:col>
          <xdr:colOff>830580</xdr:colOff>
          <xdr:row>6</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1AFCAA88-8508-72DC-B309-1DDCD61242A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266700</xdr:colOff>
          <xdr:row>90</xdr:row>
          <xdr:rowOff>121920</xdr:rowOff>
        </xdr:from>
        <xdr:to>
          <xdr:col>10</xdr:col>
          <xdr:colOff>7620</xdr:colOff>
          <xdr:row>93</xdr:row>
          <xdr:rowOff>38100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79C474CD-11EC-987B-EE1B-8100F68CDF7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998220</xdr:colOff>
          <xdr:row>3</xdr:row>
          <xdr:rowOff>60960</xdr:rowOff>
        </xdr:from>
        <xdr:to>
          <xdr:col>10</xdr:col>
          <xdr:colOff>30480</xdr:colOff>
          <xdr:row>5</xdr:row>
          <xdr:rowOff>160020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1589E951-B429-168B-6930-493023A8BD17}"/>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2</xdr:row>
          <xdr:rowOff>15240</xdr:rowOff>
        </xdr:from>
        <xdr:to>
          <xdr:col>2</xdr:col>
          <xdr:colOff>144780</xdr:colOff>
          <xdr:row>4</xdr:row>
          <xdr:rowOff>76200</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E10E5E10-6579-A89A-F666-F8B9EA95774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2</xdr:row>
          <xdr:rowOff>0</xdr:rowOff>
        </xdr:from>
        <xdr:to>
          <xdr:col>17</xdr:col>
          <xdr:colOff>480060</xdr:colOff>
          <xdr:row>6</xdr:row>
          <xdr:rowOff>22860</xdr:rowOff>
        </xdr:to>
        <xdr:sp macro="" textlink="">
          <xdr:nvSpPr>
            <xdr:cNvPr id="30722" name="Label1" hidden="1">
              <a:extLst>
                <a:ext uri="{63B3BB69-23CF-44E3-9099-C40C66FF867C}">
                  <a14:compatExt spid="_x0000_s30722"/>
                </a:ext>
                <a:ext uri="{FF2B5EF4-FFF2-40B4-BE49-F238E27FC236}">
                  <a16:creationId xmlns:a16="http://schemas.microsoft.com/office/drawing/2014/main" id="{FFA2E182-9563-1A63-199E-A7192571C8B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327660</xdr:colOff>
          <xdr:row>54</xdr:row>
          <xdr:rowOff>182880</xdr:rowOff>
        </xdr:from>
        <xdr:to>
          <xdr:col>17</xdr:col>
          <xdr:colOff>556260</xdr:colOff>
          <xdr:row>59</xdr:row>
          <xdr:rowOff>0</xdr:rowOff>
        </xdr:to>
        <xdr:sp macro="" textlink="">
          <xdr:nvSpPr>
            <xdr:cNvPr id="30724" name="Label2" hidden="1">
              <a:extLst>
                <a:ext uri="{63B3BB69-23CF-44E3-9099-C40C66FF867C}">
                  <a14:compatExt spid="_x0000_s30724"/>
                </a:ext>
                <a:ext uri="{FF2B5EF4-FFF2-40B4-BE49-F238E27FC236}">
                  <a16:creationId xmlns:a16="http://schemas.microsoft.com/office/drawing/2014/main" id="{4F4441CB-896B-FFC1-7EF4-11BC5EFF80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822960</xdr:colOff>
          <xdr:row>57</xdr:row>
          <xdr:rowOff>7620</xdr:rowOff>
        </xdr:from>
        <xdr:to>
          <xdr:col>2</xdr:col>
          <xdr:colOff>1569720</xdr:colOff>
          <xdr:row>60</xdr:row>
          <xdr:rowOff>30480</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BDBC9AAB-5868-50FF-7F6F-AA29591DFF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2468880</xdr:colOff>
          <xdr:row>57</xdr:row>
          <xdr:rowOff>15240</xdr:rowOff>
        </xdr:from>
        <xdr:to>
          <xdr:col>3</xdr:col>
          <xdr:colOff>175260</xdr:colOff>
          <xdr:row>60</xdr:row>
          <xdr:rowOff>45720</xdr:rowOff>
        </xdr:to>
        <xdr:sp macro="" textlink="">
          <xdr:nvSpPr>
            <xdr:cNvPr id="30726" name="CommandButton1" hidden="1">
              <a:extLst>
                <a:ext uri="{63B3BB69-23CF-44E3-9099-C40C66FF867C}">
                  <a14:compatExt spid="_x0000_s30726"/>
                </a:ext>
                <a:ext uri="{FF2B5EF4-FFF2-40B4-BE49-F238E27FC236}">
                  <a16:creationId xmlns:a16="http://schemas.microsoft.com/office/drawing/2014/main" id="{03C3537C-1DA7-0A49-AE4C-8B66FAA210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845820</xdr:colOff>
          <xdr:row>133</xdr:row>
          <xdr:rowOff>121920</xdr:rowOff>
        </xdr:from>
        <xdr:to>
          <xdr:col>11</xdr:col>
          <xdr:colOff>7620</xdr:colOff>
          <xdr:row>136</xdr:row>
          <xdr:rowOff>60960</xdr:rowOff>
        </xdr:to>
        <xdr:sp macro="" textlink="">
          <xdr:nvSpPr>
            <xdr:cNvPr id="30727" name="Button 7" hidden="1">
              <a:extLst>
                <a:ext uri="{63B3BB69-23CF-44E3-9099-C40C66FF867C}">
                  <a14:compatExt spid="_x0000_s30727"/>
                </a:ext>
                <a:ext uri="{FF2B5EF4-FFF2-40B4-BE49-F238E27FC236}">
                  <a16:creationId xmlns:a16="http://schemas.microsoft.com/office/drawing/2014/main" id="{1B14A037-F2D2-025D-CF8D-DC8D3E53D0D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0</xdr:rowOff>
        </xdr:from>
        <xdr:to>
          <xdr:col>6</xdr:col>
          <xdr:colOff>830580</xdr:colOff>
          <xdr:row>114</xdr:row>
          <xdr:rowOff>7620</xdr:rowOff>
        </xdr:to>
        <xdr:sp macro="" textlink="">
          <xdr:nvSpPr>
            <xdr:cNvPr id="30728" name="CommandButton2" hidden="1">
              <a:extLst>
                <a:ext uri="{63B3BB69-23CF-44E3-9099-C40C66FF867C}">
                  <a14:compatExt spid="_x0000_s30728"/>
                </a:ext>
                <a:ext uri="{FF2B5EF4-FFF2-40B4-BE49-F238E27FC236}">
                  <a16:creationId xmlns:a16="http://schemas.microsoft.com/office/drawing/2014/main" id="{948E90EE-9F23-B816-3958-60ECCED116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213360</xdr:colOff>
          <xdr:row>2</xdr:row>
          <xdr:rowOff>144780</xdr:rowOff>
        </xdr:from>
        <xdr:to>
          <xdr:col>11</xdr:col>
          <xdr:colOff>22860</xdr:colOff>
          <xdr:row>4</xdr:row>
          <xdr:rowOff>106680</xdr:rowOff>
        </xdr:to>
        <xdr:sp macro="" textlink="">
          <xdr:nvSpPr>
            <xdr:cNvPr id="30729" name="Button 9" hidden="1">
              <a:extLst>
                <a:ext uri="{63B3BB69-23CF-44E3-9099-C40C66FF867C}">
                  <a14:compatExt spid="_x0000_s30729"/>
                </a:ext>
                <a:ext uri="{FF2B5EF4-FFF2-40B4-BE49-F238E27FC236}">
                  <a16:creationId xmlns:a16="http://schemas.microsoft.com/office/drawing/2014/main" id="{0377FB4B-127D-966B-0A75-D94F472AD677}"/>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1752600</xdr:colOff>
          <xdr:row>51</xdr:row>
          <xdr:rowOff>137160</xdr:rowOff>
        </xdr:from>
        <xdr:to>
          <xdr:col>2</xdr:col>
          <xdr:colOff>2560320</xdr:colOff>
          <xdr:row>55</xdr:row>
          <xdr:rowOff>91440</xdr:rowOff>
        </xdr:to>
        <xdr:sp macro="" textlink="">
          <xdr:nvSpPr>
            <xdr:cNvPr id="15361" name="cmdTop1" hidden="1">
              <a:extLst>
                <a:ext uri="{63B3BB69-23CF-44E3-9099-C40C66FF867C}">
                  <a14:compatExt spid="_x0000_s15361"/>
                </a:ext>
                <a:ext uri="{FF2B5EF4-FFF2-40B4-BE49-F238E27FC236}">
                  <a16:creationId xmlns:a16="http://schemas.microsoft.com/office/drawing/2014/main" id="{53FCF14D-2B67-DAF0-FA16-A8C6717EE2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411480</xdr:colOff>
          <xdr:row>52</xdr:row>
          <xdr:rowOff>38100</xdr:rowOff>
        </xdr:from>
        <xdr:to>
          <xdr:col>2</xdr:col>
          <xdr:colOff>1257300</xdr:colOff>
          <xdr:row>55</xdr:row>
          <xdr:rowOff>76200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67E8E462-B4E9-8E89-5F5C-928B1A2B124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22860</xdr:colOff>
          <xdr:row>2</xdr:row>
          <xdr:rowOff>144780</xdr:rowOff>
        </xdr:from>
        <xdr:to>
          <xdr:col>2</xdr:col>
          <xdr:colOff>198120</xdr:colOff>
          <xdr:row>5</xdr:row>
          <xdr:rowOff>60960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64739E38-3303-28BC-43D5-7016A368354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350520</xdr:colOff>
          <xdr:row>3</xdr:row>
          <xdr:rowOff>76200</xdr:rowOff>
        </xdr:from>
        <xdr:to>
          <xdr:col>17</xdr:col>
          <xdr:colOff>670560</xdr:colOff>
          <xdr:row>8</xdr:row>
          <xdr:rowOff>22860</xdr:rowOff>
        </xdr:to>
        <xdr:sp macro="" textlink="">
          <xdr:nvSpPr>
            <xdr:cNvPr id="15367" name="Label1" hidden="1">
              <a:extLst>
                <a:ext uri="{63B3BB69-23CF-44E3-9099-C40C66FF867C}">
                  <a14:compatExt spid="_x0000_s15367"/>
                </a:ext>
                <a:ext uri="{FF2B5EF4-FFF2-40B4-BE49-F238E27FC236}">
                  <a16:creationId xmlns:a16="http://schemas.microsoft.com/office/drawing/2014/main" id="{DC1E2861-6664-199D-C0A7-F2F5954FDCD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167640</xdr:colOff>
          <xdr:row>53</xdr:row>
          <xdr:rowOff>0</xdr:rowOff>
        </xdr:from>
        <xdr:to>
          <xdr:col>17</xdr:col>
          <xdr:colOff>487680</xdr:colOff>
          <xdr:row>57</xdr:row>
          <xdr:rowOff>121920</xdr:rowOff>
        </xdr:to>
        <xdr:sp macro="" textlink="">
          <xdr:nvSpPr>
            <xdr:cNvPr id="15368" name="Label2" hidden="1">
              <a:extLst>
                <a:ext uri="{63B3BB69-23CF-44E3-9099-C40C66FF867C}">
                  <a14:compatExt spid="_x0000_s15368"/>
                </a:ext>
                <a:ext uri="{FF2B5EF4-FFF2-40B4-BE49-F238E27FC236}">
                  <a16:creationId xmlns:a16="http://schemas.microsoft.com/office/drawing/2014/main" id="{C5CBD424-C9E1-7037-1B97-08D83ED3BA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845820</xdr:colOff>
          <xdr:row>3</xdr:row>
          <xdr:rowOff>121920</xdr:rowOff>
        </xdr:from>
        <xdr:to>
          <xdr:col>12</xdr:col>
          <xdr:colOff>7620</xdr:colOff>
          <xdr:row>5</xdr:row>
          <xdr:rowOff>114300</xdr:rowOff>
        </xdr:to>
        <xdr:sp macro="" textlink="">
          <xdr:nvSpPr>
            <xdr:cNvPr id="15369" name="Button 9" hidden="1">
              <a:extLst>
                <a:ext uri="{63B3BB69-23CF-44E3-9099-C40C66FF867C}">
                  <a14:compatExt spid="_x0000_s15369"/>
                </a:ext>
                <a:ext uri="{FF2B5EF4-FFF2-40B4-BE49-F238E27FC236}">
                  <a16:creationId xmlns:a16="http://schemas.microsoft.com/office/drawing/2014/main" id="{96A8A0FF-5B11-1054-7128-35568591AEC2}"/>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40</xdr:row>
          <xdr:rowOff>7620</xdr:rowOff>
        </xdr:from>
        <xdr:to>
          <xdr:col>1</xdr:col>
          <xdr:colOff>0</xdr:colOff>
          <xdr:row>41</xdr:row>
          <xdr:rowOff>68580</xdr:rowOff>
        </xdr:to>
        <xdr:sp macro="" textlink="">
          <xdr:nvSpPr>
            <xdr:cNvPr id="249890" name="Button 34" hidden="1">
              <a:extLst>
                <a:ext uri="{63B3BB69-23CF-44E3-9099-C40C66FF867C}">
                  <a14:compatExt spid="_x0000_s249890"/>
                </a:ext>
                <a:ext uri="{FF2B5EF4-FFF2-40B4-BE49-F238E27FC236}">
                  <a16:creationId xmlns:a16="http://schemas.microsoft.com/office/drawing/2014/main" id="{9B406294-3755-05F7-CAA5-0C5F0FF7AE4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7620</xdr:rowOff>
        </xdr:from>
        <xdr:to>
          <xdr:col>1</xdr:col>
          <xdr:colOff>0</xdr:colOff>
          <xdr:row>48</xdr:row>
          <xdr:rowOff>76200</xdr:rowOff>
        </xdr:to>
        <xdr:sp macro="" textlink="">
          <xdr:nvSpPr>
            <xdr:cNvPr id="249891" name="Button 35" hidden="1">
              <a:extLst>
                <a:ext uri="{63B3BB69-23CF-44E3-9099-C40C66FF867C}">
                  <a14:compatExt spid="_x0000_s249891"/>
                </a:ext>
                <a:ext uri="{FF2B5EF4-FFF2-40B4-BE49-F238E27FC236}">
                  <a16:creationId xmlns:a16="http://schemas.microsoft.com/office/drawing/2014/main" id="{37FA766B-6BAD-9692-04B6-74F8BADC0DD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7620</xdr:rowOff>
        </xdr:from>
        <xdr:to>
          <xdr:col>1</xdr:col>
          <xdr:colOff>0</xdr:colOff>
          <xdr:row>51</xdr:row>
          <xdr:rowOff>76200</xdr:rowOff>
        </xdr:to>
        <xdr:sp macro="" textlink="">
          <xdr:nvSpPr>
            <xdr:cNvPr id="249892" name="Button 36" hidden="1">
              <a:extLst>
                <a:ext uri="{63B3BB69-23CF-44E3-9099-C40C66FF867C}">
                  <a14:compatExt spid="_x0000_s249892"/>
                </a:ext>
                <a:ext uri="{FF2B5EF4-FFF2-40B4-BE49-F238E27FC236}">
                  <a16:creationId xmlns:a16="http://schemas.microsoft.com/office/drawing/2014/main" id="{F2D39392-E4CD-645E-2486-CD8E472F6F0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7620</xdr:rowOff>
        </xdr:from>
        <xdr:to>
          <xdr:col>1</xdr:col>
          <xdr:colOff>0</xdr:colOff>
          <xdr:row>57</xdr:row>
          <xdr:rowOff>76200</xdr:rowOff>
        </xdr:to>
        <xdr:sp macro="" textlink="">
          <xdr:nvSpPr>
            <xdr:cNvPr id="249893" name="Button 37" hidden="1">
              <a:extLst>
                <a:ext uri="{63B3BB69-23CF-44E3-9099-C40C66FF867C}">
                  <a14:compatExt spid="_x0000_s249893"/>
                </a:ext>
                <a:ext uri="{FF2B5EF4-FFF2-40B4-BE49-F238E27FC236}">
                  <a16:creationId xmlns:a16="http://schemas.microsoft.com/office/drawing/2014/main" id="{C8D8B932-DD19-97FB-C693-B3F3DF2C32E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7620</xdr:rowOff>
        </xdr:from>
        <xdr:to>
          <xdr:col>1</xdr:col>
          <xdr:colOff>0</xdr:colOff>
          <xdr:row>66</xdr:row>
          <xdr:rowOff>76200</xdr:rowOff>
        </xdr:to>
        <xdr:sp macro="" textlink="">
          <xdr:nvSpPr>
            <xdr:cNvPr id="249894" name="Button 38" hidden="1">
              <a:extLst>
                <a:ext uri="{63B3BB69-23CF-44E3-9099-C40C66FF867C}">
                  <a14:compatExt spid="_x0000_s249894"/>
                </a:ext>
                <a:ext uri="{FF2B5EF4-FFF2-40B4-BE49-F238E27FC236}">
                  <a16:creationId xmlns:a16="http://schemas.microsoft.com/office/drawing/2014/main" id="{39B6554F-EED3-AA20-23BF-66C02EC68D4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22860</xdr:rowOff>
        </xdr:from>
        <xdr:to>
          <xdr:col>1</xdr:col>
          <xdr:colOff>0</xdr:colOff>
          <xdr:row>75</xdr:row>
          <xdr:rowOff>76200</xdr:rowOff>
        </xdr:to>
        <xdr:sp macro="" textlink="">
          <xdr:nvSpPr>
            <xdr:cNvPr id="249895" name="Button 39" hidden="1">
              <a:extLst>
                <a:ext uri="{63B3BB69-23CF-44E3-9099-C40C66FF867C}">
                  <a14:compatExt spid="_x0000_s249895"/>
                </a:ext>
                <a:ext uri="{FF2B5EF4-FFF2-40B4-BE49-F238E27FC236}">
                  <a16:creationId xmlns:a16="http://schemas.microsoft.com/office/drawing/2014/main" id="{EA2EFA7B-3A34-6DDF-60D2-8B7A2B289D1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7620</xdr:rowOff>
        </xdr:from>
        <xdr:to>
          <xdr:col>1</xdr:col>
          <xdr:colOff>0</xdr:colOff>
          <xdr:row>79</xdr:row>
          <xdr:rowOff>76200</xdr:rowOff>
        </xdr:to>
        <xdr:sp macro="" textlink="">
          <xdr:nvSpPr>
            <xdr:cNvPr id="249896" name="Button 40" hidden="1">
              <a:extLst>
                <a:ext uri="{63B3BB69-23CF-44E3-9099-C40C66FF867C}">
                  <a14:compatExt spid="_x0000_s249896"/>
                </a:ext>
                <a:ext uri="{FF2B5EF4-FFF2-40B4-BE49-F238E27FC236}">
                  <a16:creationId xmlns:a16="http://schemas.microsoft.com/office/drawing/2014/main" id="{2BF5C5D6-05A1-EAB7-85F9-345A869ECEE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7620</xdr:rowOff>
        </xdr:from>
        <xdr:to>
          <xdr:col>1</xdr:col>
          <xdr:colOff>0</xdr:colOff>
          <xdr:row>87</xdr:row>
          <xdr:rowOff>76200</xdr:rowOff>
        </xdr:to>
        <xdr:sp macro="" textlink="">
          <xdr:nvSpPr>
            <xdr:cNvPr id="249897" name="Button 41" hidden="1">
              <a:extLst>
                <a:ext uri="{63B3BB69-23CF-44E3-9099-C40C66FF867C}">
                  <a14:compatExt spid="_x0000_s249897"/>
                </a:ext>
                <a:ext uri="{FF2B5EF4-FFF2-40B4-BE49-F238E27FC236}">
                  <a16:creationId xmlns:a16="http://schemas.microsoft.com/office/drawing/2014/main" id="{F450DE84-7F8F-9638-4044-B18DA86DE97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7620</xdr:rowOff>
        </xdr:from>
        <xdr:to>
          <xdr:col>1</xdr:col>
          <xdr:colOff>0</xdr:colOff>
          <xdr:row>94</xdr:row>
          <xdr:rowOff>76200</xdr:rowOff>
        </xdr:to>
        <xdr:sp macro="" textlink="">
          <xdr:nvSpPr>
            <xdr:cNvPr id="249898" name="Button 42" hidden="1">
              <a:extLst>
                <a:ext uri="{63B3BB69-23CF-44E3-9099-C40C66FF867C}">
                  <a14:compatExt spid="_x0000_s249898"/>
                </a:ext>
                <a:ext uri="{FF2B5EF4-FFF2-40B4-BE49-F238E27FC236}">
                  <a16:creationId xmlns:a16="http://schemas.microsoft.com/office/drawing/2014/main" id="{C563A167-3B8B-43EF-FA0B-C2DEC7E2EA2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7620</xdr:rowOff>
        </xdr:from>
        <xdr:to>
          <xdr:col>1</xdr:col>
          <xdr:colOff>0</xdr:colOff>
          <xdr:row>100</xdr:row>
          <xdr:rowOff>68580</xdr:rowOff>
        </xdr:to>
        <xdr:sp macro="" textlink="">
          <xdr:nvSpPr>
            <xdr:cNvPr id="249899" name="Button 43" hidden="1">
              <a:extLst>
                <a:ext uri="{63B3BB69-23CF-44E3-9099-C40C66FF867C}">
                  <a14:compatExt spid="_x0000_s249899"/>
                </a:ext>
                <a:ext uri="{FF2B5EF4-FFF2-40B4-BE49-F238E27FC236}">
                  <a16:creationId xmlns:a16="http://schemas.microsoft.com/office/drawing/2014/main" id="{4040CB73-60F4-84FE-D8AA-CDC01EBC73D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7620</xdr:rowOff>
        </xdr:from>
        <xdr:to>
          <xdr:col>1</xdr:col>
          <xdr:colOff>0</xdr:colOff>
          <xdr:row>107</xdr:row>
          <xdr:rowOff>76200</xdr:rowOff>
        </xdr:to>
        <xdr:sp macro="" textlink="">
          <xdr:nvSpPr>
            <xdr:cNvPr id="249900" name="Button 44" hidden="1">
              <a:extLst>
                <a:ext uri="{63B3BB69-23CF-44E3-9099-C40C66FF867C}">
                  <a14:compatExt spid="_x0000_s249900"/>
                </a:ext>
                <a:ext uri="{FF2B5EF4-FFF2-40B4-BE49-F238E27FC236}">
                  <a16:creationId xmlns:a16="http://schemas.microsoft.com/office/drawing/2014/main" id="{7AD3C1F6-9DAE-B9CB-92DB-C7689BEF9A4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7620</xdr:rowOff>
        </xdr:from>
        <xdr:to>
          <xdr:col>1</xdr:col>
          <xdr:colOff>0</xdr:colOff>
          <xdr:row>116</xdr:row>
          <xdr:rowOff>76200</xdr:rowOff>
        </xdr:to>
        <xdr:sp macro="" textlink="">
          <xdr:nvSpPr>
            <xdr:cNvPr id="249901" name="Button 45" hidden="1">
              <a:extLst>
                <a:ext uri="{63B3BB69-23CF-44E3-9099-C40C66FF867C}">
                  <a14:compatExt spid="_x0000_s249901"/>
                </a:ext>
                <a:ext uri="{FF2B5EF4-FFF2-40B4-BE49-F238E27FC236}">
                  <a16:creationId xmlns:a16="http://schemas.microsoft.com/office/drawing/2014/main" id="{6714501C-69B4-E4F0-A9B1-2212FE4C045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124</xdr:row>
          <xdr:rowOff>7620</xdr:rowOff>
        </xdr:from>
        <xdr:to>
          <xdr:col>1</xdr:col>
          <xdr:colOff>0</xdr:colOff>
          <xdr:row>125</xdr:row>
          <xdr:rowOff>68580</xdr:rowOff>
        </xdr:to>
        <xdr:sp macro="" textlink="">
          <xdr:nvSpPr>
            <xdr:cNvPr id="249902" name="Button 46" hidden="1">
              <a:extLst>
                <a:ext uri="{63B3BB69-23CF-44E3-9099-C40C66FF867C}">
                  <a14:compatExt spid="_x0000_s249902"/>
                </a:ext>
                <a:ext uri="{FF2B5EF4-FFF2-40B4-BE49-F238E27FC236}">
                  <a16:creationId xmlns:a16="http://schemas.microsoft.com/office/drawing/2014/main" id="{8E8CC512-4D1C-7082-27BB-875259DCF04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130</xdr:row>
          <xdr:rowOff>7620</xdr:rowOff>
        </xdr:from>
        <xdr:to>
          <xdr:col>1</xdr:col>
          <xdr:colOff>0</xdr:colOff>
          <xdr:row>131</xdr:row>
          <xdr:rowOff>68580</xdr:rowOff>
        </xdr:to>
        <xdr:sp macro="" textlink="">
          <xdr:nvSpPr>
            <xdr:cNvPr id="249903" name="Button 47" hidden="1">
              <a:extLst>
                <a:ext uri="{63B3BB69-23CF-44E3-9099-C40C66FF867C}">
                  <a14:compatExt spid="_x0000_s249903"/>
                </a:ext>
                <a:ext uri="{FF2B5EF4-FFF2-40B4-BE49-F238E27FC236}">
                  <a16:creationId xmlns:a16="http://schemas.microsoft.com/office/drawing/2014/main" id="{CA8A2A4F-E8C1-11BA-3F52-E1D8D95FAD4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138</xdr:row>
          <xdr:rowOff>7620</xdr:rowOff>
        </xdr:from>
        <xdr:to>
          <xdr:col>1</xdr:col>
          <xdr:colOff>0</xdr:colOff>
          <xdr:row>139</xdr:row>
          <xdr:rowOff>76200</xdr:rowOff>
        </xdr:to>
        <xdr:sp macro="" textlink="">
          <xdr:nvSpPr>
            <xdr:cNvPr id="249904" name="Button 48" hidden="1">
              <a:extLst>
                <a:ext uri="{63B3BB69-23CF-44E3-9099-C40C66FF867C}">
                  <a14:compatExt spid="_x0000_s249904"/>
                </a:ext>
                <a:ext uri="{FF2B5EF4-FFF2-40B4-BE49-F238E27FC236}">
                  <a16:creationId xmlns:a16="http://schemas.microsoft.com/office/drawing/2014/main" id="{D899D02E-046A-6A50-98D8-3756D3177BE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144</xdr:row>
          <xdr:rowOff>7620</xdr:rowOff>
        </xdr:from>
        <xdr:to>
          <xdr:col>1</xdr:col>
          <xdr:colOff>0</xdr:colOff>
          <xdr:row>145</xdr:row>
          <xdr:rowOff>68580</xdr:rowOff>
        </xdr:to>
        <xdr:sp macro="" textlink="">
          <xdr:nvSpPr>
            <xdr:cNvPr id="249905" name="Button 49" hidden="1">
              <a:extLst>
                <a:ext uri="{63B3BB69-23CF-44E3-9099-C40C66FF867C}">
                  <a14:compatExt spid="_x0000_s249905"/>
                </a:ext>
                <a:ext uri="{FF2B5EF4-FFF2-40B4-BE49-F238E27FC236}">
                  <a16:creationId xmlns:a16="http://schemas.microsoft.com/office/drawing/2014/main" id="{0997EE49-84CE-A5EC-E9AD-F06AA65EB7EA}"/>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152</xdr:row>
          <xdr:rowOff>7620</xdr:rowOff>
        </xdr:from>
        <xdr:to>
          <xdr:col>1</xdr:col>
          <xdr:colOff>0</xdr:colOff>
          <xdr:row>153</xdr:row>
          <xdr:rowOff>68580</xdr:rowOff>
        </xdr:to>
        <xdr:sp macro="" textlink="">
          <xdr:nvSpPr>
            <xdr:cNvPr id="249906" name="Button 50" hidden="1">
              <a:extLst>
                <a:ext uri="{63B3BB69-23CF-44E3-9099-C40C66FF867C}">
                  <a14:compatExt spid="_x0000_s249906"/>
                </a:ext>
                <a:ext uri="{FF2B5EF4-FFF2-40B4-BE49-F238E27FC236}">
                  <a16:creationId xmlns:a16="http://schemas.microsoft.com/office/drawing/2014/main" id="{07870461-7DA5-44BA-742C-2ADF14EBABE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162</xdr:row>
          <xdr:rowOff>7620</xdr:rowOff>
        </xdr:from>
        <xdr:to>
          <xdr:col>1</xdr:col>
          <xdr:colOff>0</xdr:colOff>
          <xdr:row>163</xdr:row>
          <xdr:rowOff>68580</xdr:rowOff>
        </xdr:to>
        <xdr:sp macro="" textlink="">
          <xdr:nvSpPr>
            <xdr:cNvPr id="249907" name="Button 51" hidden="1">
              <a:extLst>
                <a:ext uri="{63B3BB69-23CF-44E3-9099-C40C66FF867C}">
                  <a14:compatExt spid="_x0000_s249907"/>
                </a:ext>
                <a:ext uri="{FF2B5EF4-FFF2-40B4-BE49-F238E27FC236}">
                  <a16:creationId xmlns:a16="http://schemas.microsoft.com/office/drawing/2014/main" id="{B9E4BEA2-8D97-AA0A-6A33-971E228477B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170</xdr:row>
          <xdr:rowOff>7620</xdr:rowOff>
        </xdr:from>
        <xdr:to>
          <xdr:col>1</xdr:col>
          <xdr:colOff>0</xdr:colOff>
          <xdr:row>171</xdr:row>
          <xdr:rowOff>76200</xdr:rowOff>
        </xdr:to>
        <xdr:sp macro="" textlink="">
          <xdr:nvSpPr>
            <xdr:cNvPr id="249908" name="Button 52" hidden="1">
              <a:extLst>
                <a:ext uri="{63B3BB69-23CF-44E3-9099-C40C66FF867C}">
                  <a14:compatExt spid="_x0000_s249908"/>
                </a:ext>
                <a:ext uri="{FF2B5EF4-FFF2-40B4-BE49-F238E27FC236}">
                  <a16:creationId xmlns:a16="http://schemas.microsoft.com/office/drawing/2014/main" id="{0BEB9218-426E-C84F-8A46-246BF2CC70E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7620</xdr:rowOff>
        </xdr:from>
        <xdr:to>
          <xdr:col>1</xdr:col>
          <xdr:colOff>0</xdr:colOff>
          <xdr:row>179</xdr:row>
          <xdr:rowOff>76200</xdr:rowOff>
        </xdr:to>
        <xdr:sp macro="" textlink="">
          <xdr:nvSpPr>
            <xdr:cNvPr id="249909" name="Button 53" hidden="1">
              <a:extLst>
                <a:ext uri="{63B3BB69-23CF-44E3-9099-C40C66FF867C}">
                  <a14:compatExt spid="_x0000_s249909"/>
                </a:ext>
                <a:ext uri="{FF2B5EF4-FFF2-40B4-BE49-F238E27FC236}">
                  <a16:creationId xmlns:a16="http://schemas.microsoft.com/office/drawing/2014/main" id="{9B01D7B2-B51D-30E1-ECDE-DA49F7D5465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184</xdr:row>
          <xdr:rowOff>7620</xdr:rowOff>
        </xdr:from>
        <xdr:to>
          <xdr:col>1</xdr:col>
          <xdr:colOff>0</xdr:colOff>
          <xdr:row>185</xdr:row>
          <xdr:rowOff>68580</xdr:rowOff>
        </xdr:to>
        <xdr:sp macro="" textlink="">
          <xdr:nvSpPr>
            <xdr:cNvPr id="249910" name="Button 54" hidden="1">
              <a:extLst>
                <a:ext uri="{63B3BB69-23CF-44E3-9099-C40C66FF867C}">
                  <a14:compatExt spid="_x0000_s249910"/>
                </a:ext>
                <a:ext uri="{FF2B5EF4-FFF2-40B4-BE49-F238E27FC236}">
                  <a16:creationId xmlns:a16="http://schemas.microsoft.com/office/drawing/2014/main" id="{CA1F5048-E7AD-C117-E74D-4BB8B0FB726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195</xdr:row>
          <xdr:rowOff>7620</xdr:rowOff>
        </xdr:from>
        <xdr:to>
          <xdr:col>1</xdr:col>
          <xdr:colOff>0</xdr:colOff>
          <xdr:row>196</xdr:row>
          <xdr:rowOff>68580</xdr:rowOff>
        </xdr:to>
        <xdr:sp macro="" textlink="">
          <xdr:nvSpPr>
            <xdr:cNvPr id="249911" name="Button 55" hidden="1">
              <a:extLst>
                <a:ext uri="{63B3BB69-23CF-44E3-9099-C40C66FF867C}">
                  <a14:compatExt spid="_x0000_s249911"/>
                </a:ext>
                <a:ext uri="{FF2B5EF4-FFF2-40B4-BE49-F238E27FC236}">
                  <a16:creationId xmlns:a16="http://schemas.microsoft.com/office/drawing/2014/main" id="{D140DFEF-3722-A0C7-005F-34F1C019F74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201</xdr:row>
          <xdr:rowOff>7620</xdr:rowOff>
        </xdr:from>
        <xdr:to>
          <xdr:col>1</xdr:col>
          <xdr:colOff>0</xdr:colOff>
          <xdr:row>202</xdr:row>
          <xdr:rowOff>68580</xdr:rowOff>
        </xdr:to>
        <xdr:sp macro="" textlink="">
          <xdr:nvSpPr>
            <xdr:cNvPr id="249912" name="Button 56" hidden="1">
              <a:extLst>
                <a:ext uri="{63B3BB69-23CF-44E3-9099-C40C66FF867C}">
                  <a14:compatExt spid="_x0000_s249912"/>
                </a:ext>
                <a:ext uri="{FF2B5EF4-FFF2-40B4-BE49-F238E27FC236}">
                  <a16:creationId xmlns:a16="http://schemas.microsoft.com/office/drawing/2014/main" id="{BFD6B8E0-26C7-7C19-040C-2BA62C2A26D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204</xdr:row>
          <xdr:rowOff>7620</xdr:rowOff>
        </xdr:from>
        <xdr:to>
          <xdr:col>1</xdr:col>
          <xdr:colOff>0</xdr:colOff>
          <xdr:row>205</xdr:row>
          <xdr:rowOff>76200</xdr:rowOff>
        </xdr:to>
        <xdr:sp macro="" textlink="">
          <xdr:nvSpPr>
            <xdr:cNvPr id="249913" name="Button 57" hidden="1">
              <a:extLst>
                <a:ext uri="{63B3BB69-23CF-44E3-9099-C40C66FF867C}">
                  <a14:compatExt spid="_x0000_s249913"/>
                </a:ext>
                <a:ext uri="{FF2B5EF4-FFF2-40B4-BE49-F238E27FC236}">
                  <a16:creationId xmlns:a16="http://schemas.microsoft.com/office/drawing/2014/main" id="{5CAA4125-451A-FCE9-7857-85877F11B65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213</xdr:row>
          <xdr:rowOff>7620</xdr:rowOff>
        </xdr:from>
        <xdr:to>
          <xdr:col>1</xdr:col>
          <xdr:colOff>0</xdr:colOff>
          <xdr:row>214</xdr:row>
          <xdr:rowOff>68580</xdr:rowOff>
        </xdr:to>
        <xdr:sp macro="" textlink="">
          <xdr:nvSpPr>
            <xdr:cNvPr id="249914" name="Button 58" hidden="1">
              <a:extLst>
                <a:ext uri="{63B3BB69-23CF-44E3-9099-C40C66FF867C}">
                  <a14:compatExt spid="_x0000_s249914"/>
                </a:ext>
                <a:ext uri="{FF2B5EF4-FFF2-40B4-BE49-F238E27FC236}">
                  <a16:creationId xmlns:a16="http://schemas.microsoft.com/office/drawing/2014/main" id="{4C911C97-0AE5-8C91-6F4D-6D2FECE7202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7620</xdr:rowOff>
        </xdr:from>
        <xdr:to>
          <xdr:col>1</xdr:col>
          <xdr:colOff>0</xdr:colOff>
          <xdr:row>218</xdr:row>
          <xdr:rowOff>68580</xdr:rowOff>
        </xdr:to>
        <xdr:sp macro="" textlink="">
          <xdr:nvSpPr>
            <xdr:cNvPr id="249915" name="Button 59" hidden="1">
              <a:extLst>
                <a:ext uri="{63B3BB69-23CF-44E3-9099-C40C66FF867C}">
                  <a14:compatExt spid="_x0000_s249915"/>
                </a:ext>
                <a:ext uri="{FF2B5EF4-FFF2-40B4-BE49-F238E27FC236}">
                  <a16:creationId xmlns:a16="http://schemas.microsoft.com/office/drawing/2014/main" id="{C60904AB-EE7A-6D97-6FF2-BA4622AD81C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220</xdr:row>
          <xdr:rowOff>7620</xdr:rowOff>
        </xdr:from>
        <xdr:to>
          <xdr:col>1</xdr:col>
          <xdr:colOff>0</xdr:colOff>
          <xdr:row>221</xdr:row>
          <xdr:rowOff>76200</xdr:rowOff>
        </xdr:to>
        <xdr:sp macro="" textlink="">
          <xdr:nvSpPr>
            <xdr:cNvPr id="249916" name="Button 60" hidden="1">
              <a:extLst>
                <a:ext uri="{63B3BB69-23CF-44E3-9099-C40C66FF867C}">
                  <a14:compatExt spid="_x0000_s249916"/>
                </a:ext>
                <a:ext uri="{FF2B5EF4-FFF2-40B4-BE49-F238E27FC236}">
                  <a16:creationId xmlns:a16="http://schemas.microsoft.com/office/drawing/2014/main" id="{CD60DC13-15E1-8B22-FA15-56714C85C69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7620</xdr:rowOff>
        </xdr:from>
        <xdr:to>
          <xdr:col>1</xdr:col>
          <xdr:colOff>0</xdr:colOff>
          <xdr:row>230</xdr:row>
          <xdr:rowOff>76200</xdr:rowOff>
        </xdr:to>
        <xdr:sp macro="" textlink="">
          <xdr:nvSpPr>
            <xdr:cNvPr id="249917" name="Button 61" hidden="1">
              <a:extLst>
                <a:ext uri="{63B3BB69-23CF-44E3-9099-C40C66FF867C}">
                  <a14:compatExt spid="_x0000_s249917"/>
                </a:ext>
                <a:ext uri="{FF2B5EF4-FFF2-40B4-BE49-F238E27FC236}">
                  <a16:creationId xmlns:a16="http://schemas.microsoft.com/office/drawing/2014/main" id="{E3D41E71-C449-0CA0-4439-915052FBAA7A}"/>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233</xdr:row>
          <xdr:rowOff>7620</xdr:rowOff>
        </xdr:from>
        <xdr:to>
          <xdr:col>1</xdr:col>
          <xdr:colOff>0</xdr:colOff>
          <xdr:row>234</xdr:row>
          <xdr:rowOff>76200</xdr:rowOff>
        </xdr:to>
        <xdr:sp macro="" textlink="">
          <xdr:nvSpPr>
            <xdr:cNvPr id="249918" name="Button 62" hidden="1">
              <a:extLst>
                <a:ext uri="{63B3BB69-23CF-44E3-9099-C40C66FF867C}">
                  <a14:compatExt spid="_x0000_s249918"/>
                </a:ext>
                <a:ext uri="{FF2B5EF4-FFF2-40B4-BE49-F238E27FC236}">
                  <a16:creationId xmlns:a16="http://schemas.microsoft.com/office/drawing/2014/main" id="{BE529765-F876-767B-1653-D0B968B6564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249</xdr:row>
          <xdr:rowOff>7620</xdr:rowOff>
        </xdr:from>
        <xdr:to>
          <xdr:col>1</xdr:col>
          <xdr:colOff>0</xdr:colOff>
          <xdr:row>250</xdr:row>
          <xdr:rowOff>76200</xdr:rowOff>
        </xdr:to>
        <xdr:sp macro="" textlink="">
          <xdr:nvSpPr>
            <xdr:cNvPr id="249919" name="Button 63" hidden="1">
              <a:extLst>
                <a:ext uri="{63B3BB69-23CF-44E3-9099-C40C66FF867C}">
                  <a14:compatExt spid="_x0000_s249919"/>
                </a:ext>
                <a:ext uri="{FF2B5EF4-FFF2-40B4-BE49-F238E27FC236}">
                  <a16:creationId xmlns:a16="http://schemas.microsoft.com/office/drawing/2014/main" id="{903FCF6F-6D44-829A-424B-F77E565D53F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266</xdr:row>
          <xdr:rowOff>7620</xdr:rowOff>
        </xdr:from>
        <xdr:to>
          <xdr:col>1</xdr:col>
          <xdr:colOff>0</xdr:colOff>
          <xdr:row>267</xdr:row>
          <xdr:rowOff>68580</xdr:rowOff>
        </xdr:to>
        <xdr:sp macro="" textlink="">
          <xdr:nvSpPr>
            <xdr:cNvPr id="249920" name="Button 64" hidden="1">
              <a:extLst>
                <a:ext uri="{63B3BB69-23CF-44E3-9099-C40C66FF867C}">
                  <a14:compatExt spid="_x0000_s249920"/>
                </a:ext>
                <a:ext uri="{FF2B5EF4-FFF2-40B4-BE49-F238E27FC236}">
                  <a16:creationId xmlns:a16="http://schemas.microsoft.com/office/drawing/2014/main" id="{7DE76E1A-1472-BA85-A94B-CF74D0EEEC6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271</xdr:row>
          <xdr:rowOff>7620</xdr:rowOff>
        </xdr:from>
        <xdr:to>
          <xdr:col>1</xdr:col>
          <xdr:colOff>0</xdr:colOff>
          <xdr:row>272</xdr:row>
          <xdr:rowOff>76200</xdr:rowOff>
        </xdr:to>
        <xdr:sp macro="" textlink="">
          <xdr:nvSpPr>
            <xdr:cNvPr id="249921" name="Button 65" hidden="1">
              <a:extLst>
                <a:ext uri="{63B3BB69-23CF-44E3-9099-C40C66FF867C}">
                  <a14:compatExt spid="_x0000_s249921"/>
                </a:ext>
                <a:ext uri="{FF2B5EF4-FFF2-40B4-BE49-F238E27FC236}">
                  <a16:creationId xmlns:a16="http://schemas.microsoft.com/office/drawing/2014/main" id="{2F6FC520-F892-EAC2-B0DF-DB8356BDCFF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277</xdr:row>
          <xdr:rowOff>7620</xdr:rowOff>
        </xdr:from>
        <xdr:to>
          <xdr:col>1</xdr:col>
          <xdr:colOff>0</xdr:colOff>
          <xdr:row>278</xdr:row>
          <xdr:rowOff>68580</xdr:rowOff>
        </xdr:to>
        <xdr:sp macro="" textlink="">
          <xdr:nvSpPr>
            <xdr:cNvPr id="249922" name="Button 66" hidden="1">
              <a:extLst>
                <a:ext uri="{63B3BB69-23CF-44E3-9099-C40C66FF867C}">
                  <a14:compatExt spid="_x0000_s249922"/>
                </a:ext>
                <a:ext uri="{FF2B5EF4-FFF2-40B4-BE49-F238E27FC236}">
                  <a16:creationId xmlns:a16="http://schemas.microsoft.com/office/drawing/2014/main" id="{49A82FCA-4A95-BE82-05C5-5F3BC05453E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299</xdr:row>
          <xdr:rowOff>7620</xdr:rowOff>
        </xdr:from>
        <xdr:to>
          <xdr:col>1</xdr:col>
          <xdr:colOff>0</xdr:colOff>
          <xdr:row>300</xdr:row>
          <xdr:rowOff>60960</xdr:rowOff>
        </xdr:to>
        <xdr:sp macro="" textlink="">
          <xdr:nvSpPr>
            <xdr:cNvPr id="249924" name="Button 68" hidden="1">
              <a:extLst>
                <a:ext uri="{63B3BB69-23CF-44E3-9099-C40C66FF867C}">
                  <a14:compatExt spid="_x0000_s249924"/>
                </a:ext>
                <a:ext uri="{FF2B5EF4-FFF2-40B4-BE49-F238E27FC236}">
                  <a16:creationId xmlns:a16="http://schemas.microsoft.com/office/drawing/2014/main" id="{ACFD7B0E-803A-D208-35BD-545B2B6F437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FF"/>
                  </a:solidFill>
                  <a:latin typeface="Arial"/>
                  <a:cs typeface="Arial"/>
                </a:rPr>
                <a:t>Top</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xdr:row>
          <xdr:rowOff>0</xdr:rowOff>
        </xdr:from>
        <xdr:to>
          <xdr:col>2</xdr:col>
          <xdr:colOff>167640</xdr:colOff>
          <xdr:row>4</xdr:row>
          <xdr:rowOff>76200</xdr:rowOff>
        </xdr:to>
        <xdr:sp macro="" textlink="">
          <xdr:nvSpPr>
            <xdr:cNvPr id="53250" name="Button 2" hidden="1">
              <a:extLst>
                <a:ext uri="{63B3BB69-23CF-44E3-9099-C40C66FF867C}">
                  <a14:compatExt spid="_x0000_s53250"/>
                </a:ext>
                <a:ext uri="{FF2B5EF4-FFF2-40B4-BE49-F238E27FC236}">
                  <a16:creationId xmlns:a16="http://schemas.microsoft.com/office/drawing/2014/main" id="{68362F06-4B84-7ADA-A681-98C7FF97EA7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419100</xdr:colOff>
          <xdr:row>2</xdr:row>
          <xdr:rowOff>7620</xdr:rowOff>
        </xdr:from>
        <xdr:to>
          <xdr:col>2</xdr:col>
          <xdr:colOff>1280160</xdr:colOff>
          <xdr:row>4</xdr:row>
          <xdr:rowOff>99060</xdr:rowOff>
        </xdr:to>
        <xdr:sp macro="" textlink="">
          <xdr:nvSpPr>
            <xdr:cNvPr id="53251" name="Button 3" hidden="1">
              <a:extLst>
                <a:ext uri="{63B3BB69-23CF-44E3-9099-C40C66FF867C}">
                  <a14:compatExt spid="_x0000_s53251"/>
                </a:ext>
                <a:ext uri="{FF2B5EF4-FFF2-40B4-BE49-F238E27FC236}">
                  <a16:creationId xmlns:a16="http://schemas.microsoft.com/office/drawing/2014/main" id="{3B1CE607-DDB1-1F58-85B6-D31CDEC1B90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Help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434340</xdr:colOff>
          <xdr:row>9</xdr:row>
          <xdr:rowOff>0</xdr:rowOff>
        </xdr:from>
        <xdr:to>
          <xdr:col>17</xdr:col>
          <xdr:colOff>411480</xdr:colOff>
          <xdr:row>13</xdr:row>
          <xdr:rowOff>167640</xdr:rowOff>
        </xdr:to>
        <xdr:sp macro="" textlink="">
          <xdr:nvSpPr>
            <xdr:cNvPr id="53253" name="Label1" hidden="1">
              <a:extLst>
                <a:ext uri="{63B3BB69-23CF-44E3-9099-C40C66FF867C}">
                  <a14:compatExt spid="_x0000_s53253"/>
                </a:ext>
                <a:ext uri="{FF2B5EF4-FFF2-40B4-BE49-F238E27FC236}">
                  <a16:creationId xmlns:a16="http://schemas.microsoft.com/office/drawing/2014/main" id="{DCFBEFB0-9D3E-AA30-93B7-5A64B3A8DA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784860</xdr:colOff>
          <xdr:row>2</xdr:row>
          <xdr:rowOff>22860</xdr:rowOff>
        </xdr:from>
        <xdr:to>
          <xdr:col>12</xdr:col>
          <xdr:colOff>30480</xdr:colOff>
          <xdr:row>4</xdr:row>
          <xdr:rowOff>76200</xdr:rowOff>
        </xdr:to>
        <xdr:sp macro="" textlink="">
          <xdr:nvSpPr>
            <xdr:cNvPr id="53254" name="Button 6" hidden="1">
              <a:extLst>
                <a:ext uri="{63B3BB69-23CF-44E3-9099-C40C66FF867C}">
                  <a14:compatExt spid="_x0000_s53254"/>
                </a:ext>
                <a:ext uri="{FF2B5EF4-FFF2-40B4-BE49-F238E27FC236}">
                  <a16:creationId xmlns:a16="http://schemas.microsoft.com/office/drawing/2014/main" id="{B27CB692-12BA-9FC0-4F25-6C30C21616BD}"/>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563880</xdr:colOff>
          <xdr:row>2</xdr:row>
          <xdr:rowOff>38100</xdr:rowOff>
        </xdr:from>
        <xdr:to>
          <xdr:col>2</xdr:col>
          <xdr:colOff>213360</xdr:colOff>
          <xdr:row>5</xdr:row>
          <xdr:rowOff>22860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E487735B-525B-0A69-2087-18B11463A13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579120</xdr:colOff>
          <xdr:row>54</xdr:row>
          <xdr:rowOff>137160</xdr:rowOff>
        </xdr:from>
        <xdr:to>
          <xdr:col>2</xdr:col>
          <xdr:colOff>281940</xdr:colOff>
          <xdr:row>57</xdr:row>
          <xdr:rowOff>60960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FCFF206-6472-3D2E-8378-510A8396FB5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670560</xdr:colOff>
          <xdr:row>113</xdr:row>
          <xdr:rowOff>152400</xdr:rowOff>
        </xdr:from>
        <xdr:to>
          <xdr:col>15</xdr:col>
          <xdr:colOff>7620</xdr:colOff>
          <xdr:row>116</xdr:row>
          <xdr:rowOff>68580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54890294-1431-8EB5-BDB2-B6ED75188E3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xdr:row>
          <xdr:rowOff>7620</xdr:rowOff>
        </xdr:from>
        <xdr:to>
          <xdr:col>15</xdr:col>
          <xdr:colOff>7620</xdr:colOff>
          <xdr:row>5</xdr:row>
          <xdr:rowOff>68580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B87955C9-61A5-B9AB-111B-1528F308C14E}"/>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60960</xdr:colOff>
          <xdr:row>3</xdr:row>
          <xdr:rowOff>38100</xdr:rowOff>
        </xdr:from>
        <xdr:to>
          <xdr:col>14</xdr:col>
          <xdr:colOff>22860</xdr:colOff>
          <xdr:row>5</xdr:row>
          <xdr:rowOff>60960</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61D67420-6D6B-96B7-83CE-99BCC68A6739}"/>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579120</xdr:colOff>
          <xdr:row>2</xdr:row>
          <xdr:rowOff>129540</xdr:rowOff>
        </xdr:from>
        <xdr:to>
          <xdr:col>2</xdr:col>
          <xdr:colOff>236220</xdr:colOff>
          <xdr:row>5</xdr:row>
          <xdr:rowOff>38100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B4ACC08D-2527-BE32-3431-4325B8388C0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1</xdr:row>
          <xdr:rowOff>60960</xdr:rowOff>
        </xdr:from>
        <xdr:to>
          <xdr:col>2</xdr:col>
          <xdr:colOff>99060</xdr:colOff>
          <xdr:row>3</xdr:row>
          <xdr:rowOff>91440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C3FD4D7C-01DF-5DCE-C474-87B92B3377B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449580</xdr:colOff>
          <xdr:row>50</xdr:row>
          <xdr:rowOff>76200</xdr:rowOff>
        </xdr:from>
        <xdr:to>
          <xdr:col>2</xdr:col>
          <xdr:colOff>1318260</xdr:colOff>
          <xdr:row>53</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C3E44F16-47AD-E220-3D70-86E06E75B1D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762000</xdr:colOff>
          <xdr:row>120</xdr:row>
          <xdr:rowOff>114300</xdr:rowOff>
        </xdr:from>
        <xdr:to>
          <xdr:col>16</xdr:col>
          <xdr:colOff>7620</xdr:colOff>
          <xdr:row>123</xdr:row>
          <xdr:rowOff>60960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4EDA0F5C-4CB1-E4FE-4DC7-2FD3DCB4931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320040</xdr:colOff>
          <xdr:row>1</xdr:row>
          <xdr:rowOff>99060</xdr:rowOff>
        </xdr:from>
        <xdr:to>
          <xdr:col>16</xdr:col>
          <xdr:colOff>38100</xdr:colOff>
          <xdr:row>3</xdr:row>
          <xdr:rowOff>160020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B8E3496F-73FC-0270-989C-744B1BCD516C}"/>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0</xdr:row>
          <xdr:rowOff>45720</xdr:rowOff>
        </xdr:from>
        <xdr:to>
          <xdr:col>2</xdr:col>
          <xdr:colOff>99060</xdr:colOff>
          <xdr:row>2</xdr:row>
          <xdr:rowOff>129540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94592D85-56CA-AB78-9247-7916CAFC51D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845820</xdr:colOff>
          <xdr:row>59</xdr:row>
          <xdr:rowOff>160020</xdr:rowOff>
        </xdr:from>
        <xdr:to>
          <xdr:col>13</xdr:col>
          <xdr:colOff>0</xdr:colOff>
          <xdr:row>62</xdr:row>
          <xdr:rowOff>76200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68814C65-8913-1D36-1AAC-F2E420C3A58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487680</xdr:colOff>
          <xdr:row>0</xdr:row>
          <xdr:rowOff>91440</xdr:rowOff>
        </xdr:from>
        <xdr:to>
          <xdr:col>13</xdr:col>
          <xdr:colOff>7620</xdr:colOff>
          <xdr:row>2</xdr:row>
          <xdr:rowOff>76200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DBF081A8-7DD5-533C-5FFD-3442C13DE57C}"/>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30480</xdr:colOff>
          <xdr:row>1</xdr:row>
          <xdr:rowOff>137160</xdr:rowOff>
        </xdr:from>
        <xdr:to>
          <xdr:col>2</xdr:col>
          <xdr:colOff>22860</xdr:colOff>
          <xdr:row>4</xdr:row>
          <xdr:rowOff>60960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3EE5811-9069-BB34-6E01-7BFD0F705A9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838200</xdr:colOff>
          <xdr:row>83</xdr:row>
          <xdr:rowOff>7620</xdr:rowOff>
        </xdr:from>
        <xdr:to>
          <xdr:col>9</xdr:col>
          <xdr:colOff>7620</xdr:colOff>
          <xdr:row>85</xdr:row>
          <xdr:rowOff>121920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587C9041-8938-F03C-E13B-DE602FAF00A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182880</xdr:colOff>
          <xdr:row>2</xdr:row>
          <xdr:rowOff>60960</xdr:rowOff>
        </xdr:from>
        <xdr:to>
          <xdr:col>9</xdr:col>
          <xdr:colOff>22860</xdr:colOff>
          <xdr:row>4</xdr:row>
          <xdr:rowOff>30480</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E7B13054-CE56-6E75-189E-32A694CFB52D}"/>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601980</xdr:colOff>
          <xdr:row>0</xdr:row>
          <xdr:rowOff>60960</xdr:rowOff>
        </xdr:from>
        <xdr:to>
          <xdr:col>2</xdr:col>
          <xdr:colOff>205740</xdr:colOff>
          <xdr:row>1</xdr:row>
          <xdr:rowOff>297180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207CD9BA-D838-7705-5A10-52B63AD370B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792480</xdr:colOff>
          <xdr:row>85</xdr:row>
          <xdr:rowOff>160020</xdr:rowOff>
        </xdr:from>
        <xdr:to>
          <xdr:col>10</xdr:col>
          <xdr:colOff>0</xdr:colOff>
          <xdr:row>88</xdr:row>
          <xdr:rowOff>99060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90248DE-0CA7-CA00-FED0-2C911EF76A8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281940</xdr:colOff>
          <xdr:row>0</xdr:row>
          <xdr:rowOff>99060</xdr:rowOff>
        </xdr:from>
        <xdr:to>
          <xdr:col>10</xdr:col>
          <xdr:colOff>22860</xdr:colOff>
          <xdr:row>1</xdr:row>
          <xdr:rowOff>198120</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8271A3FB-DE73-83F7-B10D-B1380D8C764F}"/>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2</xdr:row>
          <xdr:rowOff>144780</xdr:rowOff>
        </xdr:from>
        <xdr:to>
          <xdr:col>2</xdr:col>
          <xdr:colOff>22860</xdr:colOff>
          <xdr:row>5</xdr:row>
          <xdr:rowOff>30480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8C292F6C-5B3C-CEAF-3C18-4C46750C199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556260</xdr:colOff>
          <xdr:row>3</xdr:row>
          <xdr:rowOff>30480</xdr:rowOff>
        </xdr:from>
        <xdr:to>
          <xdr:col>10</xdr:col>
          <xdr:colOff>22860</xdr:colOff>
          <xdr:row>5</xdr:row>
          <xdr:rowOff>60960</xdr:rowOff>
        </xdr:to>
        <xdr:sp macro="" textlink="">
          <xdr:nvSpPr>
            <xdr:cNvPr id="21507" name="Button 3" hidden="1">
              <a:extLst>
                <a:ext uri="{63B3BB69-23CF-44E3-9099-C40C66FF867C}">
                  <a14:compatExt spid="_x0000_s21507"/>
                </a:ext>
                <a:ext uri="{FF2B5EF4-FFF2-40B4-BE49-F238E27FC236}">
                  <a16:creationId xmlns:a16="http://schemas.microsoft.com/office/drawing/2014/main" id="{7413F989-7DAE-3B4C-05C5-D8E8B5C2AD69}"/>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0</xdr:row>
          <xdr:rowOff>60960</xdr:rowOff>
        </xdr:from>
        <xdr:to>
          <xdr:col>1</xdr:col>
          <xdr:colOff>784860</xdr:colOff>
          <xdr:row>2</xdr:row>
          <xdr:rowOff>129540</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3E99B327-B92C-54E2-6414-F108F72B2E9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335280</xdr:colOff>
          <xdr:row>10</xdr:row>
          <xdr:rowOff>30480</xdr:rowOff>
        </xdr:from>
        <xdr:to>
          <xdr:col>14</xdr:col>
          <xdr:colOff>297180</xdr:colOff>
          <xdr:row>14</xdr:row>
          <xdr:rowOff>160020</xdr:rowOff>
        </xdr:to>
        <xdr:sp macro="" textlink="">
          <xdr:nvSpPr>
            <xdr:cNvPr id="23555" name="CommandButton1" hidden="1">
              <a:extLst>
                <a:ext uri="{63B3BB69-23CF-44E3-9099-C40C66FF867C}">
                  <a14:compatExt spid="_x0000_s23555"/>
                </a:ext>
                <a:ext uri="{FF2B5EF4-FFF2-40B4-BE49-F238E27FC236}">
                  <a16:creationId xmlns:a16="http://schemas.microsoft.com/office/drawing/2014/main" id="{84C3A281-BED9-57FB-3F41-2FD3B9F880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640080</xdr:colOff>
          <xdr:row>165</xdr:row>
          <xdr:rowOff>114300</xdr:rowOff>
        </xdr:from>
        <xdr:to>
          <xdr:col>12</xdr:col>
          <xdr:colOff>22860</xdr:colOff>
          <xdr:row>168</xdr:row>
          <xdr:rowOff>7620</xdr:rowOff>
        </xdr:to>
        <xdr:sp macro="" textlink="">
          <xdr:nvSpPr>
            <xdr:cNvPr id="23593" name="Button 41" hidden="1">
              <a:extLst>
                <a:ext uri="{63B3BB69-23CF-44E3-9099-C40C66FF867C}">
                  <a14:compatExt spid="_x0000_s23593"/>
                </a:ext>
                <a:ext uri="{FF2B5EF4-FFF2-40B4-BE49-F238E27FC236}">
                  <a16:creationId xmlns:a16="http://schemas.microsoft.com/office/drawing/2014/main" id="{155BE253-C7D1-6F9B-FC2E-C141A37F954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0</xdr:row>
          <xdr:rowOff>91440</xdr:rowOff>
        </xdr:from>
        <xdr:to>
          <xdr:col>12</xdr:col>
          <xdr:colOff>7620</xdr:colOff>
          <xdr:row>2</xdr:row>
          <xdr:rowOff>60960</xdr:rowOff>
        </xdr:to>
        <xdr:sp macro="" textlink="">
          <xdr:nvSpPr>
            <xdr:cNvPr id="23598" name="Button 46" hidden="1">
              <a:extLst>
                <a:ext uri="{63B3BB69-23CF-44E3-9099-C40C66FF867C}">
                  <a14:compatExt spid="_x0000_s23598"/>
                </a:ext>
                <a:ext uri="{FF2B5EF4-FFF2-40B4-BE49-F238E27FC236}">
                  <a16:creationId xmlns:a16="http://schemas.microsoft.com/office/drawing/2014/main" id="{4533EEF7-1A02-3083-4FAD-11AFF5CF8F6F}"/>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84</xdr:row>
          <xdr:rowOff>0</xdr:rowOff>
        </xdr:from>
        <xdr:to>
          <xdr:col>20</xdr:col>
          <xdr:colOff>327660</xdr:colOff>
          <xdr:row>87</xdr:row>
          <xdr:rowOff>129540</xdr:rowOff>
        </xdr:to>
        <xdr:sp macro="" textlink="">
          <xdr:nvSpPr>
            <xdr:cNvPr id="23635" name="Object 83" hidden="1">
              <a:extLst>
                <a:ext uri="{63B3BB69-23CF-44E3-9099-C40C66FF867C}">
                  <a14:compatExt spid="_x0000_s23635"/>
                </a:ext>
                <a:ext uri="{FF2B5EF4-FFF2-40B4-BE49-F238E27FC236}">
                  <a16:creationId xmlns:a16="http://schemas.microsoft.com/office/drawing/2014/main" id="{66EAA08E-F836-538E-3045-4E8A2B88A8D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571500</xdr:colOff>
          <xdr:row>84</xdr:row>
          <xdr:rowOff>0</xdr:rowOff>
        </xdr:from>
        <xdr:to>
          <xdr:col>22</xdr:col>
          <xdr:colOff>228600</xdr:colOff>
          <xdr:row>87</xdr:row>
          <xdr:rowOff>129540</xdr:rowOff>
        </xdr:to>
        <xdr:sp macro="" textlink="">
          <xdr:nvSpPr>
            <xdr:cNvPr id="23636" name="Object 84" hidden="1">
              <a:extLst>
                <a:ext uri="{63B3BB69-23CF-44E3-9099-C40C66FF867C}">
                  <a14:compatExt spid="_x0000_s23636"/>
                </a:ext>
                <a:ext uri="{FF2B5EF4-FFF2-40B4-BE49-F238E27FC236}">
                  <a16:creationId xmlns:a16="http://schemas.microsoft.com/office/drawing/2014/main" id="{ACB5EC62-08A2-25D7-72E7-CECAE3568CE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30480</xdr:colOff>
          <xdr:row>2</xdr:row>
          <xdr:rowOff>114300</xdr:rowOff>
        </xdr:from>
        <xdr:to>
          <xdr:col>2</xdr:col>
          <xdr:colOff>167640</xdr:colOff>
          <xdr:row>4</xdr:row>
          <xdr:rowOff>114300</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243BFFF5-3B2A-B0E8-588A-44862047AB8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129540</xdr:colOff>
          <xdr:row>2</xdr:row>
          <xdr:rowOff>114300</xdr:rowOff>
        </xdr:from>
        <xdr:to>
          <xdr:col>8</xdr:col>
          <xdr:colOff>7620</xdr:colOff>
          <xdr:row>4</xdr:row>
          <xdr:rowOff>99060</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81F425E9-39AD-8B29-5D40-9962DE7F3131}"/>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0</xdr:row>
      <xdr:rowOff>76200</xdr:rowOff>
    </xdr:from>
    <xdr:to>
      <xdr:col>1</xdr:col>
      <xdr:colOff>0</xdr:colOff>
      <xdr:row>1</xdr:row>
      <xdr:rowOff>7620</xdr:rowOff>
    </xdr:to>
    <xdr:pic>
      <xdr:nvPicPr>
        <xdr:cNvPr id="251150" name="Picture 1" descr="wi_seal">
          <a:extLst>
            <a:ext uri="{FF2B5EF4-FFF2-40B4-BE49-F238E27FC236}">
              <a16:creationId xmlns:a16="http://schemas.microsoft.com/office/drawing/2014/main" id="{4F139F10-C712-E10F-83D0-4FE33463D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 y="76200"/>
          <a:ext cx="97536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1508760</xdr:colOff>
          <xdr:row>0</xdr:row>
          <xdr:rowOff>83820</xdr:rowOff>
        </xdr:from>
        <xdr:to>
          <xdr:col>4</xdr:col>
          <xdr:colOff>0</xdr:colOff>
          <xdr:row>0</xdr:row>
          <xdr:rowOff>518160</xdr:rowOff>
        </xdr:to>
        <xdr:sp macro="" textlink="">
          <xdr:nvSpPr>
            <xdr:cNvPr id="250881" name="Button 1" descr="Back To Main Menu" hidden="1">
              <a:extLst>
                <a:ext uri="{63B3BB69-23CF-44E3-9099-C40C66FF867C}">
                  <a14:compatExt spid="_x0000_s250881"/>
                </a:ext>
                <a:ext uri="{FF2B5EF4-FFF2-40B4-BE49-F238E27FC236}">
                  <a16:creationId xmlns:a16="http://schemas.microsoft.com/office/drawing/2014/main" id="{E1EB2719-EBBA-7595-D1CF-12426613D30A}"/>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1676400</xdr:colOff>
          <xdr:row>23</xdr:row>
          <xdr:rowOff>144780</xdr:rowOff>
        </xdr:from>
        <xdr:to>
          <xdr:col>4</xdr:col>
          <xdr:colOff>0</xdr:colOff>
          <xdr:row>23</xdr:row>
          <xdr:rowOff>563880</xdr:rowOff>
        </xdr:to>
        <xdr:sp macro="" textlink="">
          <xdr:nvSpPr>
            <xdr:cNvPr id="250882" name="Button 2" hidden="1">
              <a:extLst>
                <a:ext uri="{63B3BB69-23CF-44E3-9099-C40C66FF867C}">
                  <a14:compatExt spid="_x0000_s250882"/>
                </a:ext>
                <a:ext uri="{FF2B5EF4-FFF2-40B4-BE49-F238E27FC236}">
                  <a16:creationId xmlns:a16="http://schemas.microsoft.com/office/drawing/2014/main" id="{BD741E47-48B4-1B95-CA1C-980E6C15AF5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xdr:row>
          <xdr:rowOff>129540</xdr:rowOff>
        </xdr:from>
        <xdr:to>
          <xdr:col>3</xdr:col>
          <xdr:colOff>815340</xdr:colOff>
          <xdr:row>7</xdr:row>
          <xdr:rowOff>198120</xdr:rowOff>
        </xdr:to>
        <xdr:sp macro="" textlink="">
          <xdr:nvSpPr>
            <xdr:cNvPr id="250883" name="chkBoth" hidden="1">
              <a:extLst>
                <a:ext uri="{63B3BB69-23CF-44E3-9099-C40C66FF867C}">
                  <a14:compatExt spid="_x0000_s250883"/>
                </a:ext>
                <a:ext uri="{FF2B5EF4-FFF2-40B4-BE49-F238E27FC236}">
                  <a16:creationId xmlns:a16="http://schemas.microsoft.com/office/drawing/2014/main" id="{64B295C0-93E7-53AB-E7F3-E6F22C9D9E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190500</xdr:rowOff>
        </xdr:from>
        <xdr:to>
          <xdr:col>2</xdr:col>
          <xdr:colOff>769620</xdr:colOff>
          <xdr:row>7</xdr:row>
          <xdr:rowOff>198120</xdr:rowOff>
        </xdr:to>
        <xdr:sp macro="" textlink="">
          <xdr:nvSpPr>
            <xdr:cNvPr id="250884" name="chkSewer" hidden="1">
              <a:extLst>
                <a:ext uri="{63B3BB69-23CF-44E3-9099-C40C66FF867C}">
                  <a14:compatExt spid="_x0000_s250884"/>
                </a:ext>
                <a:ext uri="{FF2B5EF4-FFF2-40B4-BE49-F238E27FC236}">
                  <a16:creationId xmlns:a16="http://schemas.microsoft.com/office/drawing/2014/main" id="{3C84023C-FDA9-3523-799A-9A0D2E4842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800100</xdr:colOff>
          <xdr:row>7</xdr:row>
          <xdr:rowOff>0</xdr:rowOff>
        </xdr:from>
        <xdr:to>
          <xdr:col>1</xdr:col>
          <xdr:colOff>441960</xdr:colOff>
          <xdr:row>7</xdr:row>
          <xdr:rowOff>205740</xdr:rowOff>
        </xdr:to>
        <xdr:sp macro="" textlink="">
          <xdr:nvSpPr>
            <xdr:cNvPr id="250885" name="chkWater" hidden="1">
              <a:extLst>
                <a:ext uri="{63B3BB69-23CF-44E3-9099-C40C66FF867C}">
                  <a14:compatExt spid="_x0000_s250885"/>
                </a:ext>
                <a:ext uri="{FF2B5EF4-FFF2-40B4-BE49-F238E27FC236}">
                  <a16:creationId xmlns:a16="http://schemas.microsoft.com/office/drawing/2014/main" id="{F2B62BCA-B28C-1072-3721-BC748DD1A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426720</xdr:colOff>
          <xdr:row>3</xdr:row>
          <xdr:rowOff>7620</xdr:rowOff>
        </xdr:from>
        <xdr:to>
          <xdr:col>6</xdr:col>
          <xdr:colOff>594360</xdr:colOff>
          <xdr:row>4</xdr:row>
          <xdr:rowOff>7620</xdr:rowOff>
        </xdr:to>
        <xdr:sp macro="" textlink="">
          <xdr:nvSpPr>
            <xdr:cNvPr id="250886" name="Button 6" hidden="1">
              <a:extLst>
                <a:ext uri="{63B3BB69-23CF-44E3-9099-C40C66FF867C}">
                  <a14:compatExt spid="_x0000_s250886"/>
                </a:ext>
                <a:ext uri="{FF2B5EF4-FFF2-40B4-BE49-F238E27FC236}">
                  <a16:creationId xmlns:a16="http://schemas.microsoft.com/office/drawing/2014/main" id="{7FB1FB6D-6D79-569F-C44B-F791F49C64E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Generate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441960</xdr:colOff>
          <xdr:row>4</xdr:row>
          <xdr:rowOff>190500</xdr:rowOff>
        </xdr:from>
        <xdr:to>
          <xdr:col>6</xdr:col>
          <xdr:colOff>601980</xdr:colOff>
          <xdr:row>7</xdr:row>
          <xdr:rowOff>60960</xdr:rowOff>
        </xdr:to>
        <xdr:sp macro="" textlink="">
          <xdr:nvSpPr>
            <xdr:cNvPr id="250887" name="Button 7" hidden="1">
              <a:extLst>
                <a:ext uri="{63B3BB69-23CF-44E3-9099-C40C66FF867C}">
                  <a14:compatExt spid="_x0000_s250887"/>
                </a:ext>
                <a:ext uri="{FF2B5EF4-FFF2-40B4-BE49-F238E27FC236}">
                  <a16:creationId xmlns:a16="http://schemas.microsoft.com/office/drawing/2014/main" id="{809AF3DE-1275-327B-54BA-62ACC8EA4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Print All Attachments</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60960</xdr:colOff>
          <xdr:row>2</xdr:row>
          <xdr:rowOff>68580</xdr:rowOff>
        </xdr:from>
        <xdr:to>
          <xdr:col>2</xdr:col>
          <xdr:colOff>144780</xdr:colOff>
          <xdr:row>5</xdr:row>
          <xdr:rowOff>7620</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CAAC7368-2D3A-4EA0-1272-1DCA8A00754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205740</xdr:colOff>
          <xdr:row>2</xdr:row>
          <xdr:rowOff>45720</xdr:rowOff>
        </xdr:from>
        <xdr:to>
          <xdr:col>10</xdr:col>
          <xdr:colOff>662940</xdr:colOff>
          <xdr:row>4</xdr:row>
          <xdr:rowOff>137160</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2FA5E4E2-1EBF-1D78-1CBE-5A93D7213EF8}"/>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twoCellAnchor>
    <xdr:from>
      <xdr:col>13</xdr:col>
      <xdr:colOff>311448</xdr:colOff>
      <xdr:row>7</xdr:row>
      <xdr:rowOff>61109</xdr:rowOff>
    </xdr:from>
    <xdr:to>
      <xdr:col>17</xdr:col>
      <xdr:colOff>147580</xdr:colOff>
      <xdr:row>7</xdr:row>
      <xdr:rowOff>1462948</xdr:rowOff>
    </xdr:to>
    <xdr:sp macro="" textlink="">
      <xdr:nvSpPr>
        <xdr:cNvPr id="2" name="TextBox 1">
          <a:extLst>
            <a:ext uri="{FF2B5EF4-FFF2-40B4-BE49-F238E27FC236}">
              <a16:creationId xmlns:a16="http://schemas.microsoft.com/office/drawing/2014/main" id="{55A9257F-4901-2E02-34F3-381E430DAA00}"/>
            </a:ext>
          </a:extLst>
        </xdr:cNvPr>
        <xdr:cNvSpPr txBox="1"/>
      </xdr:nvSpPr>
      <xdr:spPr>
        <a:xfrm>
          <a:off x="13290176" y="1154205"/>
          <a:ext cx="3048000" cy="1411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dk1"/>
              </a:solidFill>
              <a:effectLst/>
              <a:latin typeface="+mn-lt"/>
              <a:ea typeface="+mn-ea"/>
              <a:cs typeface="+mn-cs"/>
            </a:rPr>
            <a:t>1. Double-Click the white box. Type as needed.</a:t>
          </a:r>
        </a:p>
        <a:p>
          <a:r>
            <a:rPr lang="en-US" sz="1600" b="1">
              <a:solidFill>
                <a:schemeClr val="dk1"/>
              </a:solidFill>
              <a:effectLst/>
              <a:latin typeface="+mn-lt"/>
              <a:ea typeface="+mn-ea"/>
              <a:cs typeface="+mn-cs"/>
            </a:rPr>
            <a:t> </a:t>
          </a:r>
        </a:p>
        <a:p>
          <a:r>
            <a:rPr lang="en-US" sz="1600" b="1">
              <a:solidFill>
                <a:schemeClr val="dk1"/>
              </a:solidFill>
              <a:effectLst/>
              <a:latin typeface="+mn-lt"/>
              <a:ea typeface="+mn-ea"/>
              <a:cs typeface="+mn-cs"/>
            </a:rPr>
            <a:t>2. Alt + Enter will insert a </a:t>
          </a:r>
        </a:p>
        <a:p>
          <a:r>
            <a:rPr lang="en-US" sz="1600" b="1">
              <a:solidFill>
                <a:schemeClr val="dk1"/>
              </a:solidFill>
              <a:effectLst/>
              <a:latin typeface="+mn-lt"/>
              <a:ea typeface="+mn-ea"/>
              <a:cs typeface="+mn-cs"/>
            </a:rPr>
            <a:t>new line into the notes box.</a:t>
          </a:r>
        </a:p>
        <a:p>
          <a:endParaRPr lang="en-US" sz="1100"/>
        </a:p>
      </xdr:txBody>
    </xdr:sp>
    <xdr:clientData/>
  </xdr:twoCellAnchor>
  <xdr:twoCellAnchor>
    <xdr:from>
      <xdr:col>13</xdr:col>
      <xdr:colOff>356310</xdr:colOff>
      <xdr:row>7</xdr:row>
      <xdr:rowOff>1619772</xdr:rowOff>
    </xdr:from>
    <xdr:to>
      <xdr:col>17</xdr:col>
      <xdr:colOff>147554</xdr:colOff>
      <xdr:row>8</xdr:row>
      <xdr:rowOff>1197371</xdr:rowOff>
    </xdr:to>
    <xdr:sp macro="" textlink="">
      <xdr:nvSpPr>
        <xdr:cNvPr id="3" name="TextBox 2">
          <a:extLst>
            <a:ext uri="{FF2B5EF4-FFF2-40B4-BE49-F238E27FC236}">
              <a16:creationId xmlns:a16="http://schemas.microsoft.com/office/drawing/2014/main" id="{D7722A91-F708-B85D-5C2C-15F877C9CD76}"/>
            </a:ext>
          </a:extLst>
        </xdr:cNvPr>
        <xdr:cNvSpPr txBox="1"/>
      </xdr:nvSpPr>
      <xdr:spPr>
        <a:xfrm>
          <a:off x="13301383" y="2723028"/>
          <a:ext cx="3036794" cy="47625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Important Information: </a:t>
          </a:r>
        </a:p>
        <a:p>
          <a:r>
            <a:rPr lang="en-US" sz="1400" b="1">
              <a:solidFill>
                <a:schemeClr val="dk1"/>
              </a:solidFill>
              <a:effectLst/>
              <a:latin typeface="+mn-lt"/>
              <a:ea typeface="+mn-ea"/>
              <a:cs typeface="+mn-cs"/>
            </a:rPr>
            <a:t> </a:t>
          </a:r>
        </a:p>
        <a:p>
          <a:r>
            <a:rPr lang="en-US" sz="1400" b="0">
              <a:solidFill>
                <a:schemeClr val="dk1"/>
              </a:solidFill>
              <a:effectLst/>
              <a:latin typeface="+mn-lt"/>
              <a:ea typeface="+mn-ea"/>
              <a:cs typeface="+mn-cs"/>
            </a:rPr>
            <a:t>Only clicking 'enter' to move to the next line will not work.</a:t>
          </a:r>
        </a:p>
        <a:p>
          <a:r>
            <a:rPr lang="en-US" sz="1400" b="0">
              <a:solidFill>
                <a:schemeClr val="dk1"/>
              </a:solidFill>
              <a:effectLst/>
              <a:latin typeface="+mn-lt"/>
              <a:ea typeface="+mn-ea"/>
              <a:cs typeface="+mn-cs"/>
            </a:rPr>
            <a:t> </a:t>
          </a:r>
        </a:p>
        <a:p>
          <a:r>
            <a:rPr lang="en-US" sz="1400" b="0">
              <a:solidFill>
                <a:schemeClr val="dk1"/>
              </a:solidFill>
              <a:effectLst/>
              <a:latin typeface="+mn-lt"/>
              <a:ea typeface="+mn-ea"/>
              <a:cs typeface="+mn-cs"/>
            </a:rPr>
            <a:t>When returning to this page, double-click after your previous comment. </a:t>
          </a:r>
        </a:p>
        <a:p>
          <a:r>
            <a:rPr lang="en-US" sz="1400" b="0">
              <a:solidFill>
                <a:schemeClr val="dk1"/>
              </a:solidFill>
              <a:effectLst/>
              <a:latin typeface="+mn-lt"/>
              <a:ea typeface="+mn-ea"/>
              <a:cs typeface="+mn-cs"/>
            </a:rPr>
            <a:t> </a:t>
          </a:r>
        </a:p>
        <a:p>
          <a:r>
            <a:rPr lang="en-US" sz="1400" b="0">
              <a:solidFill>
                <a:schemeClr val="dk1"/>
              </a:solidFill>
              <a:effectLst/>
              <a:latin typeface="+mn-lt"/>
              <a:ea typeface="+mn-ea"/>
              <a:cs typeface="+mn-cs"/>
            </a:rPr>
            <a:t>**If you click once, you will have selected the whole box. Typing will result in deleting your previous work. If this occurs, click undo and then double-click.**</a:t>
          </a:r>
        </a:p>
        <a:p>
          <a:r>
            <a:rPr lang="en-US" sz="1400" b="0">
              <a:solidFill>
                <a:schemeClr val="dk1"/>
              </a:solidFill>
              <a:effectLst/>
              <a:latin typeface="+mn-lt"/>
              <a:ea typeface="+mn-ea"/>
              <a:cs typeface="+mn-cs"/>
            </a:rPr>
            <a:t> </a:t>
          </a:r>
        </a:p>
        <a:p>
          <a:r>
            <a:rPr lang="en-US" sz="1400" b="1">
              <a:solidFill>
                <a:schemeClr val="dk1"/>
              </a:solidFill>
              <a:effectLst/>
              <a:latin typeface="+mn-lt"/>
              <a:ea typeface="+mn-ea"/>
              <a:cs typeface="+mn-cs"/>
            </a:rPr>
            <a:t>OR </a:t>
          </a:r>
        </a:p>
        <a:p>
          <a:r>
            <a:rPr lang="en-US" sz="1400" b="0">
              <a:solidFill>
                <a:schemeClr val="dk1"/>
              </a:solidFill>
              <a:effectLst/>
              <a:latin typeface="+mn-lt"/>
              <a:ea typeface="+mn-ea"/>
              <a:cs typeface="+mn-cs"/>
            </a:rPr>
            <a:t> </a:t>
          </a:r>
        </a:p>
        <a:p>
          <a:r>
            <a:rPr lang="en-US" sz="1400" b="0">
              <a:solidFill>
                <a:schemeClr val="dk1"/>
              </a:solidFill>
              <a:effectLst/>
              <a:latin typeface="+mn-lt"/>
              <a:ea typeface="+mn-ea"/>
              <a:cs typeface="+mn-cs"/>
            </a:rPr>
            <a:t>Click the white box once, &amp; click F2 on the keyboard. This will put your typing cursor below the previous comment without deleting it all.</a:t>
          </a:r>
        </a:p>
        <a:p>
          <a:endParaRPr lang="en-US" sz="1100"/>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457200</xdr:colOff>
          <xdr:row>0</xdr:row>
          <xdr:rowOff>68580</xdr:rowOff>
        </xdr:from>
        <xdr:to>
          <xdr:col>13</xdr:col>
          <xdr:colOff>7620</xdr:colOff>
          <xdr:row>0</xdr:row>
          <xdr:rowOff>381000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2821AD11-4E79-91F3-5433-362BBB5C831D}"/>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22860</xdr:colOff>
          <xdr:row>0</xdr:row>
          <xdr:rowOff>106680</xdr:rowOff>
        </xdr:from>
        <xdr:to>
          <xdr:col>2</xdr:col>
          <xdr:colOff>190500</xdr:colOff>
          <xdr:row>1</xdr:row>
          <xdr:rowOff>53340</xdr:rowOff>
        </xdr:to>
        <xdr:sp macro="" textlink="">
          <xdr:nvSpPr>
            <xdr:cNvPr id="168966" name="Button 6" hidden="1">
              <a:extLst>
                <a:ext uri="{63B3BB69-23CF-44E3-9099-C40C66FF867C}">
                  <a14:compatExt spid="_x0000_s168966"/>
                </a:ext>
                <a:ext uri="{FF2B5EF4-FFF2-40B4-BE49-F238E27FC236}">
                  <a16:creationId xmlns:a16="http://schemas.microsoft.com/office/drawing/2014/main" id="{4B34E8DD-7544-DC01-04B7-CC49FFDBE07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419100</xdr:colOff>
          <xdr:row>0</xdr:row>
          <xdr:rowOff>76200</xdr:rowOff>
        </xdr:from>
        <xdr:to>
          <xdr:col>13</xdr:col>
          <xdr:colOff>0</xdr:colOff>
          <xdr:row>0</xdr:row>
          <xdr:rowOff>419100</xdr:rowOff>
        </xdr:to>
        <xdr:sp macro="" textlink="">
          <xdr:nvSpPr>
            <xdr:cNvPr id="169986" name="Button 2" hidden="1">
              <a:extLst>
                <a:ext uri="{63B3BB69-23CF-44E3-9099-C40C66FF867C}">
                  <a14:compatExt spid="_x0000_s169986"/>
                </a:ext>
                <a:ext uri="{FF2B5EF4-FFF2-40B4-BE49-F238E27FC236}">
                  <a16:creationId xmlns:a16="http://schemas.microsoft.com/office/drawing/2014/main" id="{1D01F395-89E6-0020-D9A2-DF7CEB68D4C1}"/>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22860</xdr:colOff>
          <xdr:row>0</xdr:row>
          <xdr:rowOff>121920</xdr:rowOff>
        </xdr:from>
        <xdr:to>
          <xdr:col>2</xdr:col>
          <xdr:colOff>190500</xdr:colOff>
          <xdr:row>1</xdr:row>
          <xdr:rowOff>15240</xdr:rowOff>
        </xdr:to>
        <xdr:sp macro="" textlink="">
          <xdr:nvSpPr>
            <xdr:cNvPr id="169987" name="Button 3" hidden="1">
              <a:extLst>
                <a:ext uri="{63B3BB69-23CF-44E3-9099-C40C66FF867C}">
                  <a14:compatExt spid="_x0000_s169987"/>
                </a:ext>
                <a:ext uri="{FF2B5EF4-FFF2-40B4-BE49-F238E27FC236}">
                  <a16:creationId xmlns:a16="http://schemas.microsoft.com/office/drawing/2014/main" id="{0AF2DBA3-6473-F44B-1854-C59B07FFF4D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xdr:row>
          <xdr:rowOff>45720</xdr:rowOff>
        </xdr:from>
        <xdr:to>
          <xdr:col>2</xdr:col>
          <xdr:colOff>541020</xdr:colOff>
          <xdr:row>4</xdr:row>
          <xdr:rowOff>114300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14D755B3-6D3A-71AE-EA8C-2968E88F7C6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784860</xdr:colOff>
          <xdr:row>84</xdr:row>
          <xdr:rowOff>0</xdr:rowOff>
        </xdr:from>
        <xdr:to>
          <xdr:col>11</xdr:col>
          <xdr:colOff>579120</xdr:colOff>
          <xdr:row>86</xdr:row>
          <xdr:rowOff>22860</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C8482868-B277-8BE3-B62C-22D457486E4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167640</xdr:colOff>
          <xdr:row>51</xdr:row>
          <xdr:rowOff>7620</xdr:rowOff>
        </xdr:from>
        <xdr:to>
          <xdr:col>13</xdr:col>
          <xdr:colOff>342900</xdr:colOff>
          <xdr:row>57</xdr:row>
          <xdr:rowOff>15240</xdr:rowOff>
        </xdr:to>
        <xdr:sp macro="" textlink="">
          <xdr:nvSpPr>
            <xdr:cNvPr id="27651" name="Label1" descr="The cell is derived from Step I.  If a different municipal authorization is applicable to Step II, enter the amount authorized." hidden="1">
              <a:extLst>
                <a:ext uri="{63B3BB69-23CF-44E3-9099-C40C66FF867C}">
                  <a14:compatExt spid="_x0000_s27651"/>
                </a:ext>
                <a:ext uri="{FF2B5EF4-FFF2-40B4-BE49-F238E27FC236}">
                  <a16:creationId xmlns:a16="http://schemas.microsoft.com/office/drawing/2014/main" id="{1AD9BB02-DB18-9E62-B442-A025FCAF0B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7620</xdr:colOff>
          <xdr:row>58</xdr:row>
          <xdr:rowOff>114300</xdr:rowOff>
        </xdr:from>
        <xdr:to>
          <xdr:col>10</xdr:col>
          <xdr:colOff>22860</xdr:colOff>
          <xdr:row>61</xdr:row>
          <xdr:rowOff>7620</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25B85C89-FEE1-6A11-513B-22A59EDC4A6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53340</xdr:rowOff>
        </xdr:from>
        <xdr:to>
          <xdr:col>1</xdr:col>
          <xdr:colOff>853440</xdr:colOff>
          <xdr:row>0</xdr:row>
          <xdr:rowOff>449580</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22F661AC-9232-F4EF-C697-D32CA891314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1</xdr:row>
          <xdr:rowOff>121920</xdr:rowOff>
        </xdr:from>
        <xdr:to>
          <xdr:col>2</xdr:col>
          <xdr:colOff>556260</xdr:colOff>
          <xdr:row>4</xdr:row>
          <xdr:rowOff>45720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99D06513-DEDD-C349-7F6C-A73C3EF36E6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716280</xdr:colOff>
          <xdr:row>36</xdr:row>
          <xdr:rowOff>0</xdr:rowOff>
        </xdr:from>
        <xdr:to>
          <xdr:col>2</xdr:col>
          <xdr:colOff>5661660</xdr:colOff>
          <xdr:row>103</xdr:row>
          <xdr:rowOff>281940</xdr:rowOff>
        </xdr:to>
        <xdr:sp macro="" textlink="">
          <xdr:nvSpPr>
            <xdr:cNvPr id="206851" name="txtEditChecks" hidden="1">
              <a:extLst>
                <a:ext uri="{63B3BB69-23CF-44E3-9099-C40C66FF867C}">
                  <a14:compatExt spid="_x0000_s206851"/>
                </a:ext>
                <a:ext uri="{FF2B5EF4-FFF2-40B4-BE49-F238E27FC236}">
                  <a16:creationId xmlns:a16="http://schemas.microsoft.com/office/drawing/2014/main" id="{9BF83C0B-4742-85D4-B681-2EBF5AAF1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36</xdr:row>
          <xdr:rowOff>0</xdr:rowOff>
        </xdr:from>
        <xdr:to>
          <xdr:col>1</xdr:col>
          <xdr:colOff>586740</xdr:colOff>
          <xdr:row>38</xdr:row>
          <xdr:rowOff>91440</xdr:rowOff>
        </xdr:to>
        <xdr:sp macro="" textlink="">
          <xdr:nvSpPr>
            <xdr:cNvPr id="206853" name="cmdPrintOut" hidden="1">
              <a:extLst>
                <a:ext uri="{63B3BB69-23CF-44E3-9099-C40C66FF867C}">
                  <a14:compatExt spid="_x0000_s206853"/>
                </a:ext>
                <a:ext uri="{FF2B5EF4-FFF2-40B4-BE49-F238E27FC236}">
                  <a16:creationId xmlns:a16="http://schemas.microsoft.com/office/drawing/2014/main" id="{18695822-4D06-4F2E-C3B4-DD84295A6B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6050280</xdr:colOff>
          <xdr:row>35</xdr:row>
          <xdr:rowOff>167640</xdr:rowOff>
        </xdr:from>
        <xdr:to>
          <xdr:col>3</xdr:col>
          <xdr:colOff>350520</xdr:colOff>
          <xdr:row>38</xdr:row>
          <xdr:rowOff>45720</xdr:rowOff>
        </xdr:to>
        <xdr:sp macro="" textlink="">
          <xdr:nvSpPr>
            <xdr:cNvPr id="206854" name="cmdClearEditList" hidden="1">
              <a:extLst>
                <a:ext uri="{63B3BB69-23CF-44E3-9099-C40C66FF867C}">
                  <a14:compatExt spid="_x0000_s206854"/>
                </a:ext>
                <a:ext uri="{FF2B5EF4-FFF2-40B4-BE49-F238E27FC236}">
                  <a16:creationId xmlns:a16="http://schemas.microsoft.com/office/drawing/2014/main" id="{7F8B5B31-26E9-AF03-8D22-BFB44BF664F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373380</xdr:colOff>
          <xdr:row>0</xdr:row>
          <xdr:rowOff>129540</xdr:rowOff>
        </xdr:from>
        <xdr:to>
          <xdr:col>37</xdr:col>
          <xdr:colOff>457200</xdr:colOff>
          <xdr:row>1</xdr:row>
          <xdr:rowOff>198120</xdr:rowOff>
        </xdr:to>
        <xdr:sp macro="" textlink="">
          <xdr:nvSpPr>
            <xdr:cNvPr id="206855" name="cmdUnlockForPSCUse" hidden="1">
              <a:extLst>
                <a:ext uri="{63B3BB69-23CF-44E3-9099-C40C66FF867C}">
                  <a14:compatExt spid="_x0000_s206855"/>
                </a:ext>
                <a:ext uri="{FF2B5EF4-FFF2-40B4-BE49-F238E27FC236}">
                  <a16:creationId xmlns:a16="http://schemas.microsoft.com/office/drawing/2014/main" id="{79B047EF-2968-0CC6-658B-1DFF2179AF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167640</xdr:colOff>
          <xdr:row>2</xdr:row>
          <xdr:rowOff>213360</xdr:rowOff>
        </xdr:from>
        <xdr:to>
          <xdr:col>11</xdr:col>
          <xdr:colOff>518160</xdr:colOff>
          <xdr:row>4</xdr:row>
          <xdr:rowOff>0</xdr:rowOff>
        </xdr:to>
        <xdr:sp macro="" textlink="">
          <xdr:nvSpPr>
            <xdr:cNvPr id="206856" name="PSCAccess" hidden="1">
              <a:extLst>
                <a:ext uri="{63B3BB69-23CF-44E3-9099-C40C66FF867C}">
                  <a14:compatExt spid="_x0000_s206856"/>
                </a:ext>
                <a:ext uri="{FF2B5EF4-FFF2-40B4-BE49-F238E27FC236}">
                  <a16:creationId xmlns:a16="http://schemas.microsoft.com/office/drawing/2014/main" id="{88D41EF2-64E5-74A2-C81C-92F56E7FC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1592580</xdr:colOff>
          <xdr:row>2</xdr:row>
          <xdr:rowOff>0</xdr:rowOff>
        </xdr:from>
        <xdr:to>
          <xdr:col>2</xdr:col>
          <xdr:colOff>3352800</xdr:colOff>
          <xdr:row>3</xdr:row>
          <xdr:rowOff>137160</xdr:rowOff>
        </xdr:to>
        <xdr:sp macro="" textlink="">
          <xdr:nvSpPr>
            <xdr:cNvPr id="206857" name="Button 9" hidden="1">
              <a:extLst>
                <a:ext uri="{63B3BB69-23CF-44E3-9099-C40C66FF867C}">
                  <a14:compatExt spid="_x0000_s206857"/>
                </a:ext>
                <a:ext uri="{FF2B5EF4-FFF2-40B4-BE49-F238E27FC236}">
                  <a16:creationId xmlns:a16="http://schemas.microsoft.com/office/drawing/2014/main" id="{9B9DF9AF-AC68-9C04-F572-52F61BF68ABD}"/>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cs typeface="Calibri"/>
                </a:rPr>
                <a:t>Run Edit Checks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167640</xdr:colOff>
          <xdr:row>1</xdr:row>
          <xdr:rowOff>106680</xdr:rowOff>
        </xdr:from>
        <xdr:to>
          <xdr:col>1</xdr:col>
          <xdr:colOff>990600</xdr:colOff>
          <xdr:row>2</xdr:row>
          <xdr:rowOff>152400</xdr:rowOff>
        </xdr:to>
        <xdr:sp macro="" textlink="">
          <xdr:nvSpPr>
            <xdr:cNvPr id="206858" name="Button 10" hidden="1">
              <a:extLst>
                <a:ext uri="{63B3BB69-23CF-44E3-9099-C40C66FF867C}">
                  <a14:compatExt spid="_x0000_s206858"/>
                </a:ext>
                <a:ext uri="{FF2B5EF4-FFF2-40B4-BE49-F238E27FC236}">
                  <a16:creationId xmlns:a16="http://schemas.microsoft.com/office/drawing/2014/main" id="{8B18CA3A-8D05-E6EA-7AB8-1DBF40B7169A}"/>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0</xdr:row>
          <xdr:rowOff>76200</xdr:rowOff>
        </xdr:from>
        <xdr:to>
          <xdr:col>2</xdr:col>
          <xdr:colOff>502920</xdr:colOff>
          <xdr:row>1</xdr:row>
          <xdr:rowOff>236220</xdr:rowOff>
        </xdr:to>
        <xdr:sp macro="" textlink="">
          <xdr:nvSpPr>
            <xdr:cNvPr id="209921" name="Button 1" hidden="1">
              <a:extLst>
                <a:ext uri="{63B3BB69-23CF-44E3-9099-C40C66FF867C}">
                  <a14:compatExt spid="_x0000_s209921"/>
                </a:ext>
                <a:ext uri="{FF2B5EF4-FFF2-40B4-BE49-F238E27FC236}">
                  <a16:creationId xmlns:a16="http://schemas.microsoft.com/office/drawing/2014/main" id="{B776CD1B-6EEC-59C9-D50E-0197A3BEECB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129540</xdr:colOff>
          <xdr:row>78</xdr:row>
          <xdr:rowOff>152400</xdr:rowOff>
        </xdr:from>
        <xdr:to>
          <xdr:col>14</xdr:col>
          <xdr:colOff>7620</xdr:colOff>
          <xdr:row>81</xdr:row>
          <xdr:rowOff>160020</xdr:rowOff>
        </xdr:to>
        <xdr:sp macro="" textlink="">
          <xdr:nvSpPr>
            <xdr:cNvPr id="171011" name="Button 3" hidden="1">
              <a:extLst>
                <a:ext uri="{63B3BB69-23CF-44E3-9099-C40C66FF867C}">
                  <a14:compatExt spid="_x0000_s171011"/>
                </a:ext>
                <a:ext uri="{FF2B5EF4-FFF2-40B4-BE49-F238E27FC236}">
                  <a16:creationId xmlns:a16="http://schemas.microsoft.com/office/drawing/2014/main" id="{84D1BF17-4D89-90D8-E5A3-A7F98BD5B4C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xdr:colOff>
          <xdr:row>0</xdr:row>
          <xdr:rowOff>68580</xdr:rowOff>
        </xdr:from>
        <xdr:to>
          <xdr:col>2</xdr:col>
          <xdr:colOff>289560</xdr:colOff>
          <xdr:row>2</xdr:row>
          <xdr:rowOff>45720</xdr:rowOff>
        </xdr:to>
        <xdr:sp macro="" textlink="">
          <xdr:nvSpPr>
            <xdr:cNvPr id="171012" name="Button 4" hidden="1">
              <a:extLst>
                <a:ext uri="{63B3BB69-23CF-44E3-9099-C40C66FF867C}">
                  <a14:compatExt spid="_x0000_s171012"/>
                </a:ext>
                <a:ext uri="{FF2B5EF4-FFF2-40B4-BE49-F238E27FC236}">
                  <a16:creationId xmlns:a16="http://schemas.microsoft.com/office/drawing/2014/main" id="{C4EF475D-4FD4-18AA-F303-A4952C3369C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647700</xdr:colOff>
          <xdr:row>0</xdr:row>
          <xdr:rowOff>137160</xdr:rowOff>
        </xdr:from>
        <xdr:to>
          <xdr:col>14</xdr:col>
          <xdr:colOff>0</xdr:colOff>
          <xdr:row>2</xdr:row>
          <xdr:rowOff>99060</xdr:rowOff>
        </xdr:to>
        <xdr:sp macro="" textlink="">
          <xdr:nvSpPr>
            <xdr:cNvPr id="171013" name="Button 5" hidden="1">
              <a:extLst>
                <a:ext uri="{63B3BB69-23CF-44E3-9099-C40C66FF867C}">
                  <a14:compatExt spid="_x0000_s171013"/>
                </a:ext>
                <a:ext uri="{FF2B5EF4-FFF2-40B4-BE49-F238E27FC236}">
                  <a16:creationId xmlns:a16="http://schemas.microsoft.com/office/drawing/2014/main" id="{58048624-47FC-F956-CD7E-BEF6ACF907BE}"/>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Generate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8</xdr:row>
          <xdr:rowOff>182880</xdr:rowOff>
        </xdr:from>
        <xdr:to>
          <xdr:col>3</xdr:col>
          <xdr:colOff>1112520</xdr:colOff>
          <xdr:row>10</xdr:row>
          <xdr:rowOff>30480</xdr:rowOff>
        </xdr:to>
        <xdr:sp macro="" textlink="">
          <xdr:nvSpPr>
            <xdr:cNvPr id="171014" name="Check Box 6" hidden="1">
              <a:extLst>
                <a:ext uri="{63B3BB69-23CF-44E3-9099-C40C66FF867C}">
                  <a14:compatExt spid="_x0000_s171014"/>
                </a:ext>
                <a:ext uri="{FF2B5EF4-FFF2-40B4-BE49-F238E27FC236}">
                  <a16:creationId xmlns:a16="http://schemas.microsoft.com/office/drawing/2014/main" id="{4D38EA72-61D9-6FA0-FB1D-79D6052E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Recent Construction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9</xdr:row>
          <xdr:rowOff>190500</xdr:rowOff>
        </xdr:from>
        <xdr:to>
          <xdr:col>3</xdr:col>
          <xdr:colOff>944880</xdr:colOff>
          <xdr:row>10</xdr:row>
          <xdr:rowOff>190500</xdr:rowOff>
        </xdr:to>
        <xdr:sp macro="" textlink="">
          <xdr:nvSpPr>
            <xdr:cNvPr id="171015" name="Check Box 7" hidden="1">
              <a:extLst>
                <a:ext uri="{63B3BB69-23CF-44E3-9099-C40C66FF867C}">
                  <a14:compatExt spid="_x0000_s171015"/>
                </a:ext>
                <a:ext uri="{FF2B5EF4-FFF2-40B4-BE49-F238E27FC236}">
                  <a16:creationId xmlns:a16="http://schemas.microsoft.com/office/drawing/2014/main" id="{FF3520FB-49BD-6277-59C1-80101511FA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Debt Service Coverage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10</xdr:row>
          <xdr:rowOff>190500</xdr:rowOff>
        </xdr:from>
        <xdr:to>
          <xdr:col>3</xdr:col>
          <xdr:colOff>1082040</xdr:colOff>
          <xdr:row>11</xdr:row>
          <xdr:rowOff>190500</xdr:rowOff>
        </xdr:to>
        <xdr:sp macro="" textlink="">
          <xdr:nvSpPr>
            <xdr:cNvPr id="171016" name="Check Box 8" hidden="1">
              <a:extLst>
                <a:ext uri="{63B3BB69-23CF-44E3-9099-C40C66FF867C}">
                  <a14:compatExt spid="_x0000_s171016"/>
                </a:ext>
                <a:ext uri="{FF2B5EF4-FFF2-40B4-BE49-F238E27FC236}">
                  <a16:creationId xmlns:a16="http://schemas.microsoft.com/office/drawing/2014/main" id="{FEC32BA6-F051-40DB-D8F4-59616925E2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Increasing O&amp;M Costs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12</xdr:row>
          <xdr:rowOff>0</xdr:rowOff>
        </xdr:from>
        <xdr:to>
          <xdr:col>3</xdr:col>
          <xdr:colOff>929640</xdr:colOff>
          <xdr:row>13</xdr:row>
          <xdr:rowOff>15240</xdr:rowOff>
        </xdr:to>
        <xdr:sp macro="" textlink="">
          <xdr:nvSpPr>
            <xdr:cNvPr id="171017" name="Check Box 9" hidden="1">
              <a:extLst>
                <a:ext uri="{63B3BB69-23CF-44E3-9099-C40C66FF867C}">
                  <a14:compatExt spid="_x0000_s171017"/>
                </a:ext>
                <a:ext uri="{FF2B5EF4-FFF2-40B4-BE49-F238E27FC236}">
                  <a16:creationId xmlns:a16="http://schemas.microsoft.com/office/drawing/2014/main" id="{9278AB24-3AB9-E70C-9412-1FEE70799F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1607820</xdr:colOff>
          <xdr:row>22</xdr:row>
          <xdr:rowOff>167640</xdr:rowOff>
        </xdr:from>
        <xdr:to>
          <xdr:col>5</xdr:col>
          <xdr:colOff>335280</xdr:colOff>
          <xdr:row>24</xdr:row>
          <xdr:rowOff>7620</xdr:rowOff>
        </xdr:to>
        <xdr:sp macro="" textlink="">
          <xdr:nvSpPr>
            <xdr:cNvPr id="171055" name="Check Box 47" hidden="1">
              <a:extLst>
                <a:ext uri="{63B3BB69-23CF-44E3-9099-C40C66FF867C}">
                  <a14:compatExt spid="_x0000_s171055"/>
                </a:ext>
                <a:ext uri="{FF2B5EF4-FFF2-40B4-BE49-F238E27FC236}">
                  <a16:creationId xmlns:a16="http://schemas.microsoft.com/office/drawing/2014/main" id="{673B4AF1-A88C-4729-9742-F7535E3ED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1584960</xdr:colOff>
          <xdr:row>23</xdr:row>
          <xdr:rowOff>167640</xdr:rowOff>
        </xdr:from>
        <xdr:to>
          <xdr:col>5</xdr:col>
          <xdr:colOff>335280</xdr:colOff>
          <xdr:row>25</xdr:row>
          <xdr:rowOff>7620</xdr:rowOff>
        </xdr:to>
        <xdr:sp macro="" textlink="">
          <xdr:nvSpPr>
            <xdr:cNvPr id="171056" name="Check Box 48" hidden="1">
              <a:extLst>
                <a:ext uri="{63B3BB69-23CF-44E3-9099-C40C66FF867C}">
                  <a14:compatExt spid="_x0000_s171056"/>
                </a:ext>
                <a:ext uri="{FF2B5EF4-FFF2-40B4-BE49-F238E27FC236}">
                  <a16:creationId xmlns:a16="http://schemas.microsoft.com/office/drawing/2014/main" id="{C080A162-3AF7-5D08-106F-FA156BC4F5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1584960</xdr:colOff>
          <xdr:row>24</xdr:row>
          <xdr:rowOff>152400</xdr:rowOff>
        </xdr:from>
        <xdr:to>
          <xdr:col>5</xdr:col>
          <xdr:colOff>335280</xdr:colOff>
          <xdr:row>26</xdr:row>
          <xdr:rowOff>7620</xdr:rowOff>
        </xdr:to>
        <xdr:sp macro="" textlink="">
          <xdr:nvSpPr>
            <xdr:cNvPr id="171057" name="Check Box 49" hidden="1">
              <a:extLst>
                <a:ext uri="{63B3BB69-23CF-44E3-9099-C40C66FF867C}">
                  <a14:compatExt spid="_x0000_s171057"/>
                </a:ext>
                <a:ext uri="{FF2B5EF4-FFF2-40B4-BE49-F238E27FC236}">
                  <a16:creationId xmlns:a16="http://schemas.microsoft.com/office/drawing/2014/main" id="{564A6BB2-2162-2A32-4CA6-9D68A079E1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1584960</xdr:colOff>
          <xdr:row>25</xdr:row>
          <xdr:rowOff>175260</xdr:rowOff>
        </xdr:from>
        <xdr:to>
          <xdr:col>5</xdr:col>
          <xdr:colOff>335280</xdr:colOff>
          <xdr:row>27</xdr:row>
          <xdr:rowOff>22860</xdr:rowOff>
        </xdr:to>
        <xdr:sp macro="" textlink="">
          <xdr:nvSpPr>
            <xdr:cNvPr id="171058" name="Check Box 50" hidden="1">
              <a:extLst>
                <a:ext uri="{63B3BB69-23CF-44E3-9099-C40C66FF867C}">
                  <a14:compatExt spid="_x0000_s171058"/>
                </a:ext>
                <a:ext uri="{FF2B5EF4-FFF2-40B4-BE49-F238E27FC236}">
                  <a16:creationId xmlns:a16="http://schemas.microsoft.com/office/drawing/2014/main" id="{FE232800-EAB6-38CE-9127-BA34505394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1584960</xdr:colOff>
          <xdr:row>27</xdr:row>
          <xdr:rowOff>167640</xdr:rowOff>
        </xdr:from>
        <xdr:to>
          <xdr:col>5</xdr:col>
          <xdr:colOff>335280</xdr:colOff>
          <xdr:row>29</xdr:row>
          <xdr:rowOff>22860</xdr:rowOff>
        </xdr:to>
        <xdr:sp macro="" textlink="">
          <xdr:nvSpPr>
            <xdr:cNvPr id="171059" name="Check Box 51" hidden="1">
              <a:extLst>
                <a:ext uri="{63B3BB69-23CF-44E3-9099-C40C66FF867C}">
                  <a14:compatExt spid="_x0000_s171059"/>
                </a:ext>
                <a:ext uri="{FF2B5EF4-FFF2-40B4-BE49-F238E27FC236}">
                  <a16:creationId xmlns:a16="http://schemas.microsoft.com/office/drawing/2014/main" id="{493588F5-8814-DAE0-23B2-6B9FBB73E8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1607820</xdr:colOff>
          <xdr:row>26</xdr:row>
          <xdr:rowOff>160020</xdr:rowOff>
        </xdr:from>
        <xdr:to>
          <xdr:col>5</xdr:col>
          <xdr:colOff>335280</xdr:colOff>
          <xdr:row>28</xdr:row>
          <xdr:rowOff>7620</xdr:rowOff>
        </xdr:to>
        <xdr:sp macro="" textlink="">
          <xdr:nvSpPr>
            <xdr:cNvPr id="171060" name="Check Box 52" hidden="1">
              <a:extLst>
                <a:ext uri="{63B3BB69-23CF-44E3-9099-C40C66FF867C}">
                  <a14:compatExt spid="_x0000_s171060"/>
                </a:ext>
                <a:ext uri="{FF2B5EF4-FFF2-40B4-BE49-F238E27FC236}">
                  <a16:creationId xmlns:a16="http://schemas.microsoft.com/office/drawing/2014/main" id="{84BA5374-5974-5ACB-FFF8-405B4D946D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289560</xdr:colOff>
          <xdr:row>11</xdr:row>
          <xdr:rowOff>53340</xdr:rowOff>
        </xdr:from>
        <xdr:to>
          <xdr:col>2</xdr:col>
          <xdr:colOff>624840</xdr:colOff>
          <xdr:row>11</xdr:row>
          <xdr:rowOff>274320</xdr:rowOff>
        </xdr:to>
        <xdr:sp macro="" textlink="">
          <xdr:nvSpPr>
            <xdr:cNvPr id="5121" name="Option Button 1" hidden="1">
              <a:extLst>
                <a:ext uri="{63B3BB69-23CF-44E3-9099-C40C66FF867C}">
                  <a14:compatExt spid="_x0000_s5121"/>
                </a:ext>
                <a:ext uri="{FF2B5EF4-FFF2-40B4-BE49-F238E27FC236}">
                  <a16:creationId xmlns:a16="http://schemas.microsoft.com/office/drawing/2014/main" id="{7C7FBF37-C8BB-D4AC-00E5-16237000F5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312420</xdr:colOff>
          <xdr:row>21</xdr:row>
          <xdr:rowOff>76200</xdr:rowOff>
        </xdr:from>
        <xdr:to>
          <xdr:col>2</xdr:col>
          <xdr:colOff>632460</xdr:colOff>
          <xdr:row>22</xdr:row>
          <xdr:rowOff>121920</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184CEEF0-B883-4288-863F-6024C282F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182880</xdr:colOff>
          <xdr:row>28</xdr:row>
          <xdr:rowOff>144780</xdr:rowOff>
        </xdr:from>
        <xdr:to>
          <xdr:col>16</xdr:col>
          <xdr:colOff>22860</xdr:colOff>
          <xdr:row>31</xdr:row>
          <xdr:rowOff>60960</xdr:rowOff>
        </xdr:to>
        <xdr:sp macro="" textlink="">
          <xdr:nvSpPr>
            <xdr:cNvPr id="5123" name="Button 3" hidden="1">
              <a:extLst>
                <a:ext uri="{63B3BB69-23CF-44E3-9099-C40C66FF867C}">
                  <a14:compatExt spid="_x0000_s5123"/>
                </a:ext>
                <a:ext uri="{FF2B5EF4-FFF2-40B4-BE49-F238E27FC236}">
                  <a16:creationId xmlns:a16="http://schemas.microsoft.com/office/drawing/2014/main" id="{685CA54C-DCA0-C50F-5726-8DF2CB596A6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xdr:colOff>
          <xdr:row>0</xdr:row>
          <xdr:rowOff>76200</xdr:rowOff>
        </xdr:from>
        <xdr:to>
          <xdr:col>2</xdr:col>
          <xdr:colOff>220980</xdr:colOff>
          <xdr:row>2</xdr:row>
          <xdr:rowOff>76200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4FAA66D2-F017-DEA3-F035-9F93C5D5B2D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800100</xdr:colOff>
          <xdr:row>0</xdr:row>
          <xdr:rowOff>106680</xdr:rowOff>
        </xdr:from>
        <xdr:to>
          <xdr:col>16</xdr:col>
          <xdr:colOff>7620</xdr:colOff>
          <xdr:row>2</xdr:row>
          <xdr:rowOff>91440</xdr:rowOff>
        </xdr:to>
        <xdr:sp macro="" textlink="">
          <xdr:nvSpPr>
            <xdr:cNvPr id="5125" name="Button 5" hidden="1">
              <a:extLst>
                <a:ext uri="{63B3BB69-23CF-44E3-9099-C40C66FF867C}">
                  <a14:compatExt spid="_x0000_s5125"/>
                </a:ext>
                <a:ext uri="{FF2B5EF4-FFF2-40B4-BE49-F238E27FC236}">
                  <a16:creationId xmlns:a16="http://schemas.microsoft.com/office/drawing/2014/main" id="{62B5D64A-64FC-3AC1-9C36-2F21A9CE4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6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0</xdr:row>
          <xdr:rowOff>106680</xdr:rowOff>
        </xdr:from>
        <xdr:to>
          <xdr:col>2</xdr:col>
          <xdr:colOff>198120</xdr:colOff>
          <xdr:row>2</xdr:row>
          <xdr:rowOff>114300</xdr:rowOff>
        </xdr:to>
        <xdr:sp macro="" textlink="">
          <xdr:nvSpPr>
            <xdr:cNvPr id="6163" name="Button 19" hidden="1">
              <a:extLst>
                <a:ext uri="{63B3BB69-23CF-44E3-9099-C40C66FF867C}">
                  <a14:compatExt spid="_x0000_s6163"/>
                </a:ext>
                <a:ext uri="{FF2B5EF4-FFF2-40B4-BE49-F238E27FC236}">
                  <a16:creationId xmlns:a16="http://schemas.microsoft.com/office/drawing/2014/main" id="{A568AE2D-8213-AED5-A507-2D57F719206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861060</xdr:colOff>
          <xdr:row>44</xdr:row>
          <xdr:rowOff>152400</xdr:rowOff>
        </xdr:from>
        <xdr:to>
          <xdr:col>10</xdr:col>
          <xdr:colOff>0</xdr:colOff>
          <xdr:row>46</xdr:row>
          <xdr:rowOff>167640</xdr:rowOff>
        </xdr:to>
        <xdr:sp macro="" textlink="">
          <xdr:nvSpPr>
            <xdr:cNvPr id="6164" name="Button 20" hidden="1">
              <a:extLst>
                <a:ext uri="{63B3BB69-23CF-44E3-9099-C40C66FF867C}">
                  <a14:compatExt spid="_x0000_s6164"/>
                </a:ext>
                <a:ext uri="{FF2B5EF4-FFF2-40B4-BE49-F238E27FC236}">
                  <a16:creationId xmlns:a16="http://schemas.microsoft.com/office/drawing/2014/main" id="{4756F5EF-B46E-F08E-0CAE-83A60B30B6E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822960</xdr:colOff>
          <xdr:row>82</xdr:row>
          <xdr:rowOff>152400</xdr:rowOff>
        </xdr:from>
        <xdr:to>
          <xdr:col>10</xdr:col>
          <xdr:colOff>0</xdr:colOff>
          <xdr:row>84</xdr:row>
          <xdr:rowOff>152400</xdr:rowOff>
        </xdr:to>
        <xdr:sp macro="" textlink="">
          <xdr:nvSpPr>
            <xdr:cNvPr id="6179" name="Button 35" hidden="1">
              <a:extLst>
                <a:ext uri="{63B3BB69-23CF-44E3-9099-C40C66FF867C}">
                  <a14:compatExt spid="_x0000_s6179"/>
                </a:ext>
                <a:ext uri="{FF2B5EF4-FFF2-40B4-BE49-F238E27FC236}">
                  <a16:creationId xmlns:a16="http://schemas.microsoft.com/office/drawing/2014/main" id="{903FC709-8DE3-CD1E-9F5B-7A9C9EB90FE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144780</xdr:colOff>
          <xdr:row>0</xdr:row>
          <xdr:rowOff>106680</xdr:rowOff>
        </xdr:from>
        <xdr:to>
          <xdr:col>10</xdr:col>
          <xdr:colOff>22860</xdr:colOff>
          <xdr:row>2</xdr:row>
          <xdr:rowOff>68580</xdr:rowOff>
        </xdr:to>
        <xdr:sp macro="" textlink="">
          <xdr:nvSpPr>
            <xdr:cNvPr id="6187" name="Button 43" hidden="1">
              <a:extLst>
                <a:ext uri="{63B3BB69-23CF-44E3-9099-C40C66FF867C}">
                  <a14:compatExt spid="_x0000_s6187"/>
                </a:ext>
                <a:ext uri="{FF2B5EF4-FFF2-40B4-BE49-F238E27FC236}">
                  <a16:creationId xmlns:a16="http://schemas.microsoft.com/office/drawing/2014/main" id="{8153179F-20CE-4BE6-7613-CF2E81DC370C}"/>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0</xdr:row>
          <xdr:rowOff>137160</xdr:rowOff>
        </xdr:from>
        <xdr:to>
          <xdr:col>2</xdr:col>
          <xdr:colOff>266700</xdr:colOff>
          <xdr:row>0</xdr:row>
          <xdr:rowOff>518160</xdr:rowOff>
        </xdr:to>
        <xdr:sp macro="" textlink="">
          <xdr:nvSpPr>
            <xdr:cNvPr id="136193" name="Button 1" hidden="1">
              <a:extLst>
                <a:ext uri="{63B3BB69-23CF-44E3-9099-C40C66FF867C}">
                  <a14:compatExt spid="_x0000_s136193"/>
                </a:ext>
                <a:ext uri="{FF2B5EF4-FFF2-40B4-BE49-F238E27FC236}">
                  <a16:creationId xmlns:a16="http://schemas.microsoft.com/office/drawing/2014/main" id="{88E884F4-CC65-F036-B668-739036097AC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739140</xdr:colOff>
          <xdr:row>0</xdr:row>
          <xdr:rowOff>144780</xdr:rowOff>
        </xdr:from>
        <xdr:to>
          <xdr:col>12</xdr:col>
          <xdr:colOff>22860</xdr:colOff>
          <xdr:row>0</xdr:row>
          <xdr:rowOff>457200</xdr:rowOff>
        </xdr:to>
        <xdr:sp macro="" textlink="">
          <xdr:nvSpPr>
            <xdr:cNvPr id="136204" name="Button 12" hidden="1">
              <a:extLst>
                <a:ext uri="{63B3BB69-23CF-44E3-9099-C40C66FF867C}">
                  <a14:compatExt spid="_x0000_s136204"/>
                </a:ext>
                <a:ext uri="{FF2B5EF4-FFF2-40B4-BE49-F238E27FC236}">
                  <a16:creationId xmlns:a16="http://schemas.microsoft.com/office/drawing/2014/main" id="{2928CDA3-FCD0-1A5B-F217-61B7F92B1E5E}"/>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106680</xdr:rowOff>
        </xdr:from>
        <xdr:to>
          <xdr:col>3</xdr:col>
          <xdr:colOff>251460</xdr:colOff>
          <xdr:row>1</xdr:row>
          <xdr:rowOff>160020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7FE8A14A-327C-DA1F-D84A-10700AA5F50A}"/>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960120</xdr:colOff>
          <xdr:row>66</xdr:row>
          <xdr:rowOff>137160</xdr:rowOff>
        </xdr:from>
        <xdr:to>
          <xdr:col>14</xdr:col>
          <xdr:colOff>0</xdr:colOff>
          <xdr:row>69</xdr:row>
          <xdr:rowOff>137160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90E30D09-4021-3606-CD30-F6BB1E6A8E6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281940</xdr:colOff>
          <xdr:row>0</xdr:row>
          <xdr:rowOff>114300</xdr:rowOff>
        </xdr:from>
        <xdr:to>
          <xdr:col>14</xdr:col>
          <xdr:colOff>7620</xdr:colOff>
          <xdr:row>1</xdr:row>
          <xdr:rowOff>121920</xdr:rowOff>
        </xdr:to>
        <xdr:sp macro="" textlink="">
          <xdr:nvSpPr>
            <xdr:cNvPr id="105475" name="Button 3" hidden="1">
              <a:extLst>
                <a:ext uri="{63B3BB69-23CF-44E3-9099-C40C66FF867C}">
                  <a14:compatExt spid="_x0000_s105475"/>
                </a:ext>
                <a:ext uri="{FF2B5EF4-FFF2-40B4-BE49-F238E27FC236}">
                  <a16:creationId xmlns:a16="http://schemas.microsoft.com/office/drawing/2014/main" id="{026C0435-CA22-F4D2-1F73-77E4FA3C9C75}"/>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0</xdr:row>
          <xdr:rowOff>53340</xdr:rowOff>
        </xdr:from>
        <xdr:to>
          <xdr:col>2</xdr:col>
          <xdr:colOff>251460</xdr:colOff>
          <xdr:row>1</xdr:row>
          <xdr:rowOff>251460</xdr:rowOff>
        </xdr:to>
        <xdr:sp macro="" textlink="">
          <xdr:nvSpPr>
            <xdr:cNvPr id="137217" name="Button 1" hidden="1">
              <a:extLst>
                <a:ext uri="{63B3BB69-23CF-44E3-9099-C40C66FF867C}">
                  <a14:compatExt spid="_x0000_s137217"/>
                </a:ext>
                <a:ext uri="{FF2B5EF4-FFF2-40B4-BE49-F238E27FC236}">
                  <a16:creationId xmlns:a16="http://schemas.microsoft.com/office/drawing/2014/main" id="{75C1AF84-6C9B-EEAE-E2E8-58097A296ED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FF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1219200</xdr:colOff>
          <xdr:row>0</xdr:row>
          <xdr:rowOff>91440</xdr:rowOff>
        </xdr:from>
        <xdr:to>
          <xdr:col>12</xdr:col>
          <xdr:colOff>7620</xdr:colOff>
          <xdr:row>1</xdr:row>
          <xdr:rowOff>289560</xdr:rowOff>
        </xdr:to>
        <xdr:sp macro="" textlink="">
          <xdr:nvSpPr>
            <xdr:cNvPr id="137218" name="Button 2" hidden="1">
              <a:extLst>
                <a:ext uri="{63B3BB69-23CF-44E3-9099-C40C66FF867C}">
                  <a14:compatExt spid="_x0000_s137218"/>
                </a:ext>
                <a:ext uri="{FF2B5EF4-FFF2-40B4-BE49-F238E27FC236}">
                  <a16:creationId xmlns:a16="http://schemas.microsoft.com/office/drawing/2014/main" id="{9FB45AA6-E316-0759-F0FE-8727B6844848}"/>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800" b="0" i="0" u="none" strike="noStrike" baseline="0">
                  <a:solidFill>
                    <a:srgbClr val="000000"/>
                  </a:solidFill>
                  <a:latin typeface="Calibri"/>
                  <a:cs typeface="Calibri"/>
                </a:rPr>
                <a:t>Generate PDF</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APMRAIO1\c$\Users\schuek\Desktop\Application%20Project\Andy_v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Data"/>
      <sheetName val="Main_Menu"/>
      <sheetName val="Instructions"/>
      <sheetName val="Contact_Info"/>
      <sheetName val="Ratemaking Goals"/>
      <sheetName val="Hearing"/>
      <sheetName val="Attach1"/>
      <sheetName val="Attach2A"/>
      <sheetName val="Attach2B"/>
      <sheetName val="Attach2C"/>
      <sheetName val="Attach3A"/>
      <sheetName val="Attach3B"/>
      <sheetName val="Attach3W"/>
      <sheetName val="Attach4"/>
      <sheetName val="Attach5"/>
      <sheetName val="Attach6"/>
      <sheetName val="Attach7"/>
      <sheetName val="Attach8"/>
      <sheetName val="Attach9"/>
      <sheetName val="Attach10_AB"/>
      <sheetName val="Attach10_C"/>
      <sheetName val="Attach10_D"/>
      <sheetName val="Attach11"/>
      <sheetName val="Attach11a"/>
      <sheetName val="Attach12"/>
      <sheetName val="Attach13"/>
      <sheetName val="Attach14"/>
      <sheetName val="Attach15"/>
      <sheetName val="Attach16"/>
      <sheetName val="Attach17"/>
      <sheetName val="Attach18"/>
      <sheetName val="Attach19"/>
      <sheetName val="Attach19a"/>
      <sheetName val="Attach19b"/>
      <sheetName val="Attach20"/>
      <sheetName val="Attach21"/>
      <sheetName val="Attach22"/>
      <sheetName val="Edit_Checks"/>
      <sheetName val="Attach23"/>
      <sheetName val="Andy_v7"/>
    </sheetNames>
    <definedNames>
      <definedName name="BackMain"/>
      <definedName name="PrintAll"/>
    </definedNames>
    <sheetDataSet>
      <sheetData sheetId="0"/>
      <sheetData sheetId="1">
        <row r="1">
          <cell r="H1" t="str">
            <v>Amery Municipal Joint Water and Sewer Utility</v>
          </cell>
        </row>
        <row r="3">
          <cell r="H3">
            <v>2022</v>
          </cell>
        </row>
        <row r="4">
          <cell r="H4" t="str">
            <v>C</v>
          </cell>
        </row>
      </sheetData>
      <sheetData sheetId="2"/>
      <sheetData sheetId="3"/>
      <sheetData sheetId="4"/>
      <sheetData sheetId="5"/>
      <sheetData sheetId="6"/>
      <sheetData sheetId="7"/>
      <sheetData sheetId="8">
        <row r="10">
          <cell r="G10" t="str">
            <v>Yes</v>
          </cell>
        </row>
        <row r="18">
          <cell r="D18">
            <v>0</v>
          </cell>
        </row>
        <row r="19">
          <cell r="D19">
            <v>0</v>
          </cell>
        </row>
        <row r="20">
          <cell r="D20">
            <v>0</v>
          </cell>
        </row>
        <row r="21">
          <cell r="D21">
            <v>0</v>
          </cell>
        </row>
        <row r="22">
          <cell r="D22">
            <v>0</v>
          </cell>
        </row>
      </sheetData>
      <sheetData sheetId="9">
        <row r="2">
          <cell r="CU2">
            <v>1</v>
          </cell>
        </row>
        <row r="11">
          <cell r="G11">
            <v>12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92">
          <cell r="N92">
            <v>3027038</v>
          </cell>
        </row>
      </sheetData>
      <sheetData sheetId="24"/>
      <sheetData sheetId="25"/>
      <sheetData sheetId="26">
        <row r="26">
          <cell r="L26">
            <v>1485681</v>
          </cell>
        </row>
        <row r="36">
          <cell r="L36">
            <v>0</v>
          </cell>
        </row>
        <row r="43">
          <cell r="L43">
            <v>0</v>
          </cell>
        </row>
      </sheetData>
      <sheetData sheetId="27"/>
      <sheetData sheetId="28"/>
      <sheetData sheetId="29"/>
      <sheetData sheetId="30">
        <row r="24">
          <cell r="C24"/>
        </row>
        <row r="33">
          <cell r="F33" t="str">
            <v>Yes</v>
          </cell>
        </row>
        <row r="36">
          <cell r="F36"/>
        </row>
        <row r="37">
          <cell r="F37"/>
        </row>
        <row r="38">
          <cell r="F38"/>
        </row>
        <row r="39">
          <cell r="F39"/>
        </row>
        <row r="51">
          <cell r="C51"/>
        </row>
      </sheetData>
      <sheetData sheetId="31"/>
      <sheetData sheetId="32"/>
      <sheetData sheetId="33"/>
      <sheetData sheetId="34"/>
      <sheetData sheetId="35"/>
      <sheetData sheetId="36"/>
      <sheetData sheetId="37"/>
      <sheetData sheetId="38"/>
      <sheetData sheetId="39"/>
      <sheetData sheetId="4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3" Type="http://schemas.openxmlformats.org/officeDocument/2006/relationships/drawing" Target="../drawings/drawing1.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trlProp" Target="../ctrlProps/ctrlProp3.xml"/><Relationship Id="rId2" Type="http://schemas.openxmlformats.org/officeDocument/2006/relationships/printerSettings" Target="../printerSettings/printerSettings2.bin"/><Relationship Id="rId16" Type="http://schemas.openxmlformats.org/officeDocument/2006/relationships/ctrlProp" Target="../ctrlProps/ctrlProp2.xml"/><Relationship Id="rId1" Type="http://schemas.openxmlformats.org/officeDocument/2006/relationships/printerSettings" Target="../printerSettings/printerSettings1.bin"/><Relationship Id="rId6" Type="http://schemas.openxmlformats.org/officeDocument/2006/relationships/image" Target="../media/image1.emf"/><Relationship Id="rId11" Type="http://schemas.openxmlformats.org/officeDocument/2006/relationships/control" Target="../activeX/activeX4.xml"/><Relationship Id="rId5" Type="http://schemas.openxmlformats.org/officeDocument/2006/relationships/control" Target="../activeX/activeX1.xml"/><Relationship Id="rId15" Type="http://schemas.openxmlformats.org/officeDocument/2006/relationships/ctrlProp" Target="../ctrlProps/ctrlProp1.xml"/><Relationship Id="rId10" Type="http://schemas.openxmlformats.org/officeDocument/2006/relationships/image" Target="../media/image3.emf"/><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5.emf"/></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7" Type="http://schemas.openxmlformats.org/officeDocument/2006/relationships/ctrlProp" Target="../ctrlProps/ctrlProp6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trlProp" Target="../ctrlProps/ctrlProp67.xml"/><Relationship Id="rId5" Type="http://schemas.openxmlformats.org/officeDocument/2006/relationships/ctrlProp" Target="../ctrlProps/ctrlProp66.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trlProp" Target="../ctrlProps/ctrlProp70.xml"/><Relationship Id="rId5" Type="http://schemas.openxmlformats.org/officeDocument/2006/relationships/ctrlProp" Target="../ctrlProps/ctrlProp69.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7" Type="http://schemas.openxmlformats.org/officeDocument/2006/relationships/ctrlProp" Target="../ctrlProps/ctrlProp73.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75.xml"/><Relationship Id="rId5" Type="http://schemas.openxmlformats.org/officeDocument/2006/relationships/ctrlProp" Target="../ctrlProps/ctrlProp74.xml"/><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7.xml"/><Relationship Id="rId3" Type="http://schemas.openxmlformats.org/officeDocument/2006/relationships/drawing" Target="../drawings/drawing12.xml"/><Relationship Id="rId7" Type="http://schemas.openxmlformats.org/officeDocument/2006/relationships/ctrlProp" Target="../ctrlProps/ctrlProp76.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image" Target="../media/image10.emf"/><Relationship Id="rId5" Type="http://schemas.openxmlformats.org/officeDocument/2006/relationships/control" Target="../activeX/activeX9.xml"/><Relationship Id="rId4" Type="http://schemas.openxmlformats.org/officeDocument/2006/relationships/vmlDrawing" Target="../drawings/vmlDrawing12.vml"/><Relationship Id="rId9" Type="http://schemas.openxmlformats.org/officeDocument/2006/relationships/ctrlProp" Target="../ctrlProps/ctrlProp7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80.xml"/><Relationship Id="rId3" Type="http://schemas.openxmlformats.org/officeDocument/2006/relationships/drawing" Target="../drawings/drawing13.xml"/><Relationship Id="rId7" Type="http://schemas.openxmlformats.org/officeDocument/2006/relationships/ctrlProp" Target="../ctrlProps/ctrlProp79.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image" Target="../media/image11.emf"/><Relationship Id="rId5" Type="http://schemas.openxmlformats.org/officeDocument/2006/relationships/control" Target="../activeX/activeX10.xml"/><Relationship Id="rId4" Type="http://schemas.openxmlformats.org/officeDocument/2006/relationships/vmlDrawing" Target="../drawings/vmlDrawing13.vml"/><Relationship Id="rId9" Type="http://schemas.openxmlformats.org/officeDocument/2006/relationships/ctrlProp" Target="../ctrlProps/ctrlProp8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7" Type="http://schemas.openxmlformats.org/officeDocument/2006/relationships/ctrlProp" Target="../ctrlProps/ctrlProp8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7" Type="http://schemas.openxmlformats.org/officeDocument/2006/relationships/ctrlProp" Target="../ctrlProps/ctrlProp8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7" Type="http://schemas.openxmlformats.org/officeDocument/2006/relationships/ctrlProp" Target="../ctrlProps/ctrlProp90.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7" Type="http://schemas.openxmlformats.org/officeDocument/2006/relationships/ctrlProp" Target="../ctrlProps/ctrlProp93.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trlProp" Target="../ctrlProps/ctrlProp92.xml"/><Relationship Id="rId5" Type="http://schemas.openxmlformats.org/officeDocument/2006/relationships/ctrlProp" Target="../ctrlProps/ctrlProp91.xml"/><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trlProp" Target="../ctrlProps/ctrlProp94.xml"/><Relationship Id="rId3" Type="http://schemas.openxmlformats.org/officeDocument/2006/relationships/drawing" Target="../drawings/drawing18.xml"/><Relationship Id="rId7" Type="http://schemas.openxmlformats.org/officeDocument/2006/relationships/control" Target="../activeX/activeX12.xml"/><Relationship Id="rId12" Type="http://schemas.openxmlformats.org/officeDocument/2006/relationships/image" Target="../media/image15.emf"/><Relationship Id="rId2" Type="http://schemas.openxmlformats.org/officeDocument/2006/relationships/printerSettings" Target="../printerSettings/printerSettings38.bin"/><Relationship Id="rId16" Type="http://schemas.openxmlformats.org/officeDocument/2006/relationships/ctrlProp" Target="../ctrlProps/ctrlProp97.xml"/><Relationship Id="rId1" Type="http://schemas.openxmlformats.org/officeDocument/2006/relationships/printerSettings" Target="../printerSettings/printerSettings37.bin"/><Relationship Id="rId6" Type="http://schemas.openxmlformats.org/officeDocument/2006/relationships/image" Target="../media/image12.emf"/><Relationship Id="rId11" Type="http://schemas.openxmlformats.org/officeDocument/2006/relationships/control" Target="../activeX/activeX14.xml"/><Relationship Id="rId5" Type="http://schemas.openxmlformats.org/officeDocument/2006/relationships/control" Target="../activeX/activeX11.xml"/><Relationship Id="rId15" Type="http://schemas.openxmlformats.org/officeDocument/2006/relationships/ctrlProp" Target="../ctrlProps/ctrlProp96.xml"/><Relationship Id="rId10" Type="http://schemas.openxmlformats.org/officeDocument/2006/relationships/image" Target="../media/image14.emf"/><Relationship Id="rId4" Type="http://schemas.openxmlformats.org/officeDocument/2006/relationships/vmlDrawing" Target="../drawings/vmlDrawing18.vml"/><Relationship Id="rId9" Type="http://schemas.openxmlformats.org/officeDocument/2006/relationships/control" Target="../activeX/activeX13.xml"/><Relationship Id="rId14" Type="http://schemas.openxmlformats.org/officeDocument/2006/relationships/ctrlProp" Target="../ctrlProps/ctrlProp95.xml"/></Relationships>
</file>

<file path=xl/worksheets/_rels/sheet22.xml.rels><?xml version="1.0" encoding="UTF-8" standalone="yes"?>
<Relationships xmlns="http://schemas.openxmlformats.org/package/2006/relationships"><Relationship Id="rId8" Type="http://schemas.openxmlformats.org/officeDocument/2006/relationships/image" Target="../media/image17.emf"/><Relationship Id="rId13" Type="http://schemas.openxmlformats.org/officeDocument/2006/relationships/ctrlProp" Target="../ctrlProps/ctrlProp100.xml"/><Relationship Id="rId3" Type="http://schemas.openxmlformats.org/officeDocument/2006/relationships/drawing" Target="../drawings/drawing19.xml"/><Relationship Id="rId7" Type="http://schemas.openxmlformats.org/officeDocument/2006/relationships/control" Target="../activeX/activeX16.xml"/><Relationship Id="rId12" Type="http://schemas.openxmlformats.org/officeDocument/2006/relationships/ctrlProp" Target="../ctrlProps/ctrlProp9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image" Target="../media/image16.emf"/><Relationship Id="rId11" Type="http://schemas.openxmlformats.org/officeDocument/2006/relationships/ctrlProp" Target="../ctrlProps/ctrlProp98.xml"/><Relationship Id="rId5" Type="http://schemas.openxmlformats.org/officeDocument/2006/relationships/control" Target="../activeX/activeX15.xml"/><Relationship Id="rId10" Type="http://schemas.openxmlformats.org/officeDocument/2006/relationships/image" Target="../media/image18.emf"/><Relationship Id="rId4" Type="http://schemas.openxmlformats.org/officeDocument/2006/relationships/vmlDrawing" Target="../drawings/vmlDrawing19.vml"/><Relationship Id="rId9" Type="http://schemas.openxmlformats.org/officeDocument/2006/relationships/control" Target="../activeX/activeX17.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02.xml"/><Relationship Id="rId3" Type="http://schemas.openxmlformats.org/officeDocument/2006/relationships/drawing" Target="../drawings/drawing20.xml"/><Relationship Id="rId7" Type="http://schemas.openxmlformats.org/officeDocument/2006/relationships/ctrlProp" Target="../ctrlProps/ctrlProp101.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image" Target="../media/image19.emf"/><Relationship Id="rId5" Type="http://schemas.openxmlformats.org/officeDocument/2006/relationships/control" Target="../activeX/activeX18.xml"/><Relationship Id="rId4" Type="http://schemas.openxmlformats.org/officeDocument/2006/relationships/vmlDrawing" Target="../drawings/vmlDrawing20.vml"/><Relationship Id="rId9" Type="http://schemas.openxmlformats.org/officeDocument/2006/relationships/ctrlProp" Target="../ctrlProps/ctrlProp10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07.xml"/><Relationship Id="rId3" Type="http://schemas.openxmlformats.org/officeDocument/2006/relationships/drawing" Target="../drawings/drawing21.xml"/><Relationship Id="rId7" Type="http://schemas.openxmlformats.org/officeDocument/2006/relationships/ctrlProp" Target="../ctrlProps/ctrlProp106.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trlProp" Target="../ctrlProps/ctrlProp105.xml"/><Relationship Id="rId5" Type="http://schemas.openxmlformats.org/officeDocument/2006/relationships/ctrlProp" Target="../ctrlProps/ctrlProp104.xml"/><Relationship Id="rId4" Type="http://schemas.openxmlformats.org/officeDocument/2006/relationships/vmlDrawing" Target="../drawings/vmlDrawing21.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ctrlProp" Target="../ctrlProps/ctrlProp109.xml"/><Relationship Id="rId5" Type="http://schemas.openxmlformats.org/officeDocument/2006/relationships/ctrlProp" Target="../ctrlProps/ctrlProp108.xml"/><Relationship Id="rId4" Type="http://schemas.openxmlformats.org/officeDocument/2006/relationships/vmlDrawing" Target="../drawings/vmlDrawing22.v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13.xml"/><Relationship Id="rId3" Type="http://schemas.openxmlformats.org/officeDocument/2006/relationships/drawing" Target="../drawings/drawing23.xml"/><Relationship Id="rId7" Type="http://schemas.openxmlformats.org/officeDocument/2006/relationships/ctrlProp" Target="../ctrlProps/ctrlProp112.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ctrlProp" Target="../ctrlProps/ctrlProp111.xml"/><Relationship Id="rId5" Type="http://schemas.openxmlformats.org/officeDocument/2006/relationships/ctrlProp" Target="../ctrlProps/ctrlProp110.xml"/><Relationship Id="rId4" Type="http://schemas.openxmlformats.org/officeDocument/2006/relationships/vmlDrawing" Target="../drawings/vmlDrawing23.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7" Type="http://schemas.openxmlformats.org/officeDocument/2006/relationships/ctrlProp" Target="../ctrlProps/ctrlProp116.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ctrlProp" Target="../ctrlProps/ctrlProp115.xml"/><Relationship Id="rId5" Type="http://schemas.openxmlformats.org/officeDocument/2006/relationships/ctrlProp" Target="../ctrlProps/ctrlProp114.xml"/><Relationship Id="rId4" Type="http://schemas.openxmlformats.org/officeDocument/2006/relationships/vmlDrawing" Target="../drawings/vmlDrawing24.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7" Type="http://schemas.openxmlformats.org/officeDocument/2006/relationships/ctrlProp" Target="../ctrlProps/ctrlProp119.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ctrlProp" Target="../ctrlProps/ctrlProp118.xml"/><Relationship Id="rId5" Type="http://schemas.openxmlformats.org/officeDocument/2006/relationships/ctrlProp" Target="../ctrlProps/ctrlProp117.xml"/><Relationship Id="rId4" Type="http://schemas.openxmlformats.org/officeDocument/2006/relationships/vmlDrawing" Target="../drawings/vmlDrawing25.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7" Type="http://schemas.openxmlformats.org/officeDocument/2006/relationships/ctrlProp" Target="../ctrlProps/ctrlProp122.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ctrlProp" Target="../ctrlProps/ctrlProp121.xml"/><Relationship Id="rId5" Type="http://schemas.openxmlformats.org/officeDocument/2006/relationships/ctrlProp" Target="../ctrlProps/ctrlProp120.xml"/><Relationship Id="rId4" Type="http://schemas.openxmlformats.org/officeDocument/2006/relationships/vmlDrawing" Target="../drawings/vmlDrawing26.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ctrlProp" Target="../ctrlProps/ctrlProp124.xml"/><Relationship Id="rId5" Type="http://schemas.openxmlformats.org/officeDocument/2006/relationships/ctrlProp" Target="../ctrlProps/ctrlProp123.xml"/><Relationship Id="rId4" Type="http://schemas.openxmlformats.org/officeDocument/2006/relationships/vmlDrawing" Target="../drawings/vmlDrawing27.vml"/></Relationships>
</file>

<file path=xl/worksheets/_rels/sheet31.xml.rels><?xml version="1.0" encoding="UTF-8" standalone="yes"?>
<Relationships xmlns="http://schemas.openxmlformats.org/package/2006/relationships"><Relationship Id="rId8" Type="http://schemas.openxmlformats.org/officeDocument/2006/relationships/oleObject" Target="../embeddings/oleObject1.bin"/><Relationship Id="rId13" Type="http://schemas.openxmlformats.org/officeDocument/2006/relationships/image" Target="../media/image22.emf"/><Relationship Id="rId3" Type="http://schemas.openxmlformats.org/officeDocument/2006/relationships/hyperlink" Target="https://apps.psc.wi.gov/ERF/ERFsearch/content/searchRef.aspx?docid=296859" TargetMode="External"/><Relationship Id="rId7" Type="http://schemas.openxmlformats.org/officeDocument/2006/relationships/vmlDrawing" Target="../drawings/vmlDrawing28.vml"/><Relationship Id="rId12" Type="http://schemas.openxmlformats.org/officeDocument/2006/relationships/control" Target="../activeX/activeX19.xml"/><Relationship Id="rId2" Type="http://schemas.openxmlformats.org/officeDocument/2006/relationships/hyperlink" Target="https://psc.wi.gov/Pages/ForUtilities/Water/FireProtection.aspx" TargetMode="External"/><Relationship Id="rId16" Type="http://schemas.openxmlformats.org/officeDocument/2006/relationships/ctrlProp" Target="../ctrlProps/ctrlProp127.xml"/><Relationship Id="rId1" Type="http://schemas.openxmlformats.org/officeDocument/2006/relationships/printerSettings" Target="../printerSettings/printerSettings57.bin"/><Relationship Id="rId6" Type="http://schemas.openxmlformats.org/officeDocument/2006/relationships/drawing" Target="../drawings/drawing28.xml"/><Relationship Id="rId11" Type="http://schemas.openxmlformats.org/officeDocument/2006/relationships/image" Target="../media/image21.emf"/><Relationship Id="rId5" Type="http://schemas.openxmlformats.org/officeDocument/2006/relationships/printerSettings" Target="../printerSettings/printerSettings58.bin"/><Relationship Id="rId15" Type="http://schemas.openxmlformats.org/officeDocument/2006/relationships/ctrlProp" Target="../ctrlProps/ctrlProp126.xml"/><Relationship Id="rId10" Type="http://schemas.openxmlformats.org/officeDocument/2006/relationships/oleObject" Target="../embeddings/oleObject2.bin"/><Relationship Id="rId4" Type="http://schemas.openxmlformats.org/officeDocument/2006/relationships/hyperlink" Target="https://psc.wi.gov/Documents/water/ChangePFPOutsideCRC.pdf" TargetMode="External"/><Relationship Id="rId9" Type="http://schemas.openxmlformats.org/officeDocument/2006/relationships/image" Target="../media/image20.emf"/><Relationship Id="rId14" Type="http://schemas.openxmlformats.org/officeDocument/2006/relationships/ctrlProp" Target="../ctrlProps/ctrlProp125.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ctrlProp" Target="../ctrlProps/ctrlProp129.xml"/><Relationship Id="rId5" Type="http://schemas.openxmlformats.org/officeDocument/2006/relationships/ctrlProp" Target="../ctrlProps/ctrlProp128.xml"/><Relationship Id="rId4" Type="http://schemas.openxmlformats.org/officeDocument/2006/relationships/vmlDrawing" Target="../drawings/vmlDrawing29.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ctrlProp" Target="../ctrlProps/ctrlProp131.xml"/><Relationship Id="rId5" Type="http://schemas.openxmlformats.org/officeDocument/2006/relationships/ctrlProp" Target="../ctrlProps/ctrlProp130.xml"/><Relationship Id="rId4" Type="http://schemas.openxmlformats.org/officeDocument/2006/relationships/vmlDrawing" Target="../drawings/vmlDrawing30.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3.bin"/><Relationship Id="rId1" Type="http://schemas.openxmlformats.org/officeDocument/2006/relationships/hyperlink" Target="https://psc.wi.gov/Pages/ForUtilities/Water/WaterInfrastructureFAQs.aspx" TargetMode="External"/><Relationship Id="rId6" Type="http://schemas.openxmlformats.org/officeDocument/2006/relationships/ctrlProp" Target="../ctrlProps/ctrlProp133.xml"/><Relationship Id="rId5" Type="http://schemas.openxmlformats.org/officeDocument/2006/relationships/ctrlProp" Target="../ctrlProps/ctrlProp132.xml"/><Relationship Id="rId4" Type="http://schemas.openxmlformats.org/officeDocument/2006/relationships/vmlDrawing" Target="../drawings/vmlDrawing31.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64.bin"/><Relationship Id="rId5" Type="http://schemas.openxmlformats.org/officeDocument/2006/relationships/ctrlProp" Target="../ctrlProps/ctrlProp135.xml"/><Relationship Id="rId4" Type="http://schemas.openxmlformats.org/officeDocument/2006/relationships/ctrlProp" Target="../ctrlProps/ctrlProp134.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37.xml"/><Relationship Id="rId3" Type="http://schemas.openxmlformats.org/officeDocument/2006/relationships/drawing" Target="../drawings/drawing33.xml"/><Relationship Id="rId7" Type="http://schemas.openxmlformats.org/officeDocument/2006/relationships/ctrlProp" Target="../ctrlProps/ctrlProp136.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image" Target="../media/image23.emf"/><Relationship Id="rId5" Type="http://schemas.openxmlformats.org/officeDocument/2006/relationships/control" Target="../activeX/activeX20.xml"/><Relationship Id="rId4" Type="http://schemas.openxmlformats.org/officeDocument/2006/relationships/vmlDrawing" Target="../drawings/vmlDrawing33.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ctrlProp" Target="../ctrlProps/ctrlProp139.xml"/><Relationship Id="rId5" Type="http://schemas.openxmlformats.org/officeDocument/2006/relationships/ctrlProp" Target="../ctrlProps/ctrlProp138.xml"/><Relationship Id="rId4" Type="http://schemas.openxmlformats.org/officeDocument/2006/relationships/vmlDrawing" Target="../drawings/vmlDrawing34.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ctrlProp" Target="../ctrlProps/ctrlProp140.xml"/><Relationship Id="rId4" Type="http://schemas.openxmlformats.org/officeDocument/2006/relationships/vmlDrawing" Target="../drawings/vmlDrawing35.vml"/></Relationships>
</file>

<file path=xl/worksheets/_rels/sheet39.xml.rels><?xml version="1.0" encoding="UTF-8" standalone="yes"?>
<Relationships xmlns="http://schemas.openxmlformats.org/package/2006/relationships"><Relationship Id="rId8" Type="http://schemas.openxmlformats.org/officeDocument/2006/relationships/control" Target="../activeX/activeX23.xml"/><Relationship Id="rId13" Type="http://schemas.openxmlformats.org/officeDocument/2006/relationships/image" Target="../media/image28.emf"/><Relationship Id="rId3" Type="http://schemas.openxmlformats.org/officeDocument/2006/relationships/vmlDrawing" Target="../drawings/vmlDrawing36.vml"/><Relationship Id="rId7" Type="http://schemas.openxmlformats.org/officeDocument/2006/relationships/image" Target="../media/image25.emf"/><Relationship Id="rId12" Type="http://schemas.openxmlformats.org/officeDocument/2006/relationships/control" Target="../activeX/activeX25.xml"/><Relationship Id="rId2" Type="http://schemas.openxmlformats.org/officeDocument/2006/relationships/drawing" Target="../drawings/drawing36.xml"/><Relationship Id="rId1" Type="http://schemas.openxmlformats.org/officeDocument/2006/relationships/printerSettings" Target="../printerSettings/printerSettings71.bin"/><Relationship Id="rId6" Type="http://schemas.openxmlformats.org/officeDocument/2006/relationships/control" Target="../activeX/activeX22.xml"/><Relationship Id="rId11" Type="http://schemas.openxmlformats.org/officeDocument/2006/relationships/image" Target="../media/image27.emf"/><Relationship Id="rId5" Type="http://schemas.openxmlformats.org/officeDocument/2006/relationships/image" Target="../media/image24.emf"/><Relationship Id="rId15" Type="http://schemas.openxmlformats.org/officeDocument/2006/relationships/ctrlProp" Target="../ctrlProps/ctrlProp142.xml"/><Relationship Id="rId10" Type="http://schemas.openxmlformats.org/officeDocument/2006/relationships/control" Target="../activeX/activeX24.xml"/><Relationship Id="rId4" Type="http://schemas.openxmlformats.org/officeDocument/2006/relationships/control" Target="../activeX/activeX21.xml"/><Relationship Id="rId9" Type="http://schemas.openxmlformats.org/officeDocument/2006/relationships/image" Target="../media/image26.emf"/><Relationship Id="rId14" Type="http://schemas.openxmlformats.org/officeDocument/2006/relationships/ctrlProp" Target="../ctrlProps/ctrlProp14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6.xml"/><Relationship Id="rId18" Type="http://schemas.openxmlformats.org/officeDocument/2006/relationships/ctrlProp" Target="../ctrlProps/ctrlProp11.xml"/><Relationship Id="rId26" Type="http://schemas.openxmlformats.org/officeDocument/2006/relationships/ctrlProp" Target="../ctrlProps/ctrlProp19.xml"/><Relationship Id="rId39" Type="http://schemas.openxmlformats.org/officeDocument/2006/relationships/ctrlProp" Target="../ctrlProps/ctrlProp32.xml"/><Relationship Id="rId21" Type="http://schemas.openxmlformats.org/officeDocument/2006/relationships/ctrlProp" Target="../ctrlProps/ctrlProp14.xml"/><Relationship Id="rId34" Type="http://schemas.openxmlformats.org/officeDocument/2006/relationships/ctrlProp" Target="../ctrlProps/ctrlProp27.xml"/><Relationship Id="rId42" Type="http://schemas.openxmlformats.org/officeDocument/2006/relationships/ctrlProp" Target="../ctrlProps/ctrlProp35.xml"/><Relationship Id="rId7" Type="http://schemas.openxmlformats.org/officeDocument/2006/relationships/hyperlink" Target="mailto:PSCWaterAppMail@wisconsin.gov" TargetMode="External"/><Relationship Id="rId2" Type="http://schemas.openxmlformats.org/officeDocument/2006/relationships/hyperlink" Target="https://psc.wi.gov/Pages/ForUtilities/Water/Conventional-Rate-Case.aspx" TargetMode="External"/><Relationship Id="rId16" Type="http://schemas.openxmlformats.org/officeDocument/2006/relationships/ctrlProp" Target="../ctrlProps/ctrlProp9.xml"/><Relationship Id="rId20" Type="http://schemas.openxmlformats.org/officeDocument/2006/relationships/ctrlProp" Target="../ctrlProps/ctrlProp13.xml"/><Relationship Id="rId29" Type="http://schemas.openxmlformats.org/officeDocument/2006/relationships/ctrlProp" Target="../ctrlProps/ctrlProp22.xml"/><Relationship Id="rId41" Type="http://schemas.openxmlformats.org/officeDocument/2006/relationships/ctrlProp" Target="../ctrlProps/ctrlProp34.xml"/><Relationship Id="rId1" Type="http://schemas.openxmlformats.org/officeDocument/2006/relationships/hyperlink" Target="https://apps.psc.wi.gov/RATES/ratecase/water.aspx" TargetMode="External"/><Relationship Id="rId6" Type="http://schemas.openxmlformats.org/officeDocument/2006/relationships/hyperlink" Target="mailto:PSCRecordsMail@wisconsin.gov." TargetMode="External"/><Relationship Id="rId11" Type="http://schemas.openxmlformats.org/officeDocument/2006/relationships/ctrlProp" Target="../ctrlProps/ctrlProp4.xml"/><Relationship Id="rId24" Type="http://schemas.openxmlformats.org/officeDocument/2006/relationships/ctrlProp" Target="../ctrlProps/ctrlProp17.xml"/><Relationship Id="rId32" Type="http://schemas.openxmlformats.org/officeDocument/2006/relationships/ctrlProp" Target="../ctrlProps/ctrlProp25.xml"/><Relationship Id="rId37" Type="http://schemas.openxmlformats.org/officeDocument/2006/relationships/ctrlProp" Target="../ctrlProps/ctrlProp30.xml"/><Relationship Id="rId40" Type="http://schemas.openxmlformats.org/officeDocument/2006/relationships/ctrlProp" Target="../ctrlProps/ctrlProp33.xml"/><Relationship Id="rId5" Type="http://schemas.openxmlformats.org/officeDocument/2006/relationships/hyperlink" Target="https://apps.psc.wi.gov/ERF/ERF/ERFhome.aspx" TargetMode="External"/><Relationship Id="rId15" Type="http://schemas.openxmlformats.org/officeDocument/2006/relationships/ctrlProp" Target="../ctrlProps/ctrlProp8.xml"/><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10" Type="http://schemas.openxmlformats.org/officeDocument/2006/relationships/vmlDrawing" Target="../drawings/vmlDrawing2.vml"/><Relationship Id="rId19" Type="http://schemas.openxmlformats.org/officeDocument/2006/relationships/ctrlProp" Target="../ctrlProps/ctrlProp12.xml"/><Relationship Id="rId31" Type="http://schemas.openxmlformats.org/officeDocument/2006/relationships/ctrlProp" Target="../ctrlProps/ctrlProp24.xml"/><Relationship Id="rId44" Type="http://schemas.openxmlformats.org/officeDocument/2006/relationships/ctrlProp" Target="../ctrlProps/ctrlProp37.xml"/><Relationship Id="rId4" Type="http://schemas.openxmlformats.org/officeDocument/2006/relationships/hyperlink" Target="mailto:PSCRecordsMail@wisconsin.gov" TargetMode="External"/><Relationship Id="rId9" Type="http://schemas.openxmlformats.org/officeDocument/2006/relationships/drawing" Target="../drawings/drawing2.xml"/><Relationship Id="rId14" Type="http://schemas.openxmlformats.org/officeDocument/2006/relationships/ctrlProp" Target="../ctrlProps/ctrlProp7.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 Id="rId35" Type="http://schemas.openxmlformats.org/officeDocument/2006/relationships/ctrlProp" Target="../ctrlProps/ctrlProp28.xml"/><Relationship Id="rId43" Type="http://schemas.openxmlformats.org/officeDocument/2006/relationships/ctrlProp" Target="../ctrlProps/ctrlProp36.xml"/><Relationship Id="rId8" Type="http://schemas.openxmlformats.org/officeDocument/2006/relationships/printerSettings" Target="../printerSettings/printerSettings6.bin"/><Relationship Id="rId3" Type="http://schemas.openxmlformats.org/officeDocument/2006/relationships/hyperlink" Target="https://psc.wi.gov/Documents/water/BenchmarkRetirement.pdf" TargetMode="External"/><Relationship Id="rId12" Type="http://schemas.openxmlformats.org/officeDocument/2006/relationships/ctrlProp" Target="../ctrlProps/ctrlProp5.xml"/><Relationship Id="rId17" Type="http://schemas.openxmlformats.org/officeDocument/2006/relationships/ctrlProp" Target="../ctrlProps/ctrlProp10.xml"/><Relationship Id="rId25" Type="http://schemas.openxmlformats.org/officeDocument/2006/relationships/ctrlProp" Target="../ctrlProps/ctrlProp18.xml"/><Relationship Id="rId33" Type="http://schemas.openxmlformats.org/officeDocument/2006/relationships/ctrlProp" Target="../ctrlProps/ctrlProp26.xml"/><Relationship Id="rId38" Type="http://schemas.openxmlformats.org/officeDocument/2006/relationships/ctrlProp" Target="../ctrlProps/ctrlProp31.xml"/></Relationships>
</file>

<file path=xl/worksheets/_rels/sheet40.xml.rels><?xml version="1.0" encoding="UTF-8" standalone="yes"?>
<Relationships xmlns="http://schemas.openxmlformats.org/package/2006/relationships"><Relationship Id="rId8" Type="http://schemas.openxmlformats.org/officeDocument/2006/relationships/vmlDrawing" Target="../drawings/vmlDrawing37.vml"/><Relationship Id="rId3" Type="http://schemas.openxmlformats.org/officeDocument/2006/relationships/hyperlink" Target="mailto:pscrecs@wisconsin.gov" TargetMode="External"/><Relationship Id="rId7" Type="http://schemas.openxmlformats.org/officeDocument/2006/relationships/drawing" Target="../drawings/drawing37.xml"/><Relationship Id="rId2" Type="http://schemas.openxmlformats.org/officeDocument/2006/relationships/hyperlink" Target="https://apps.psc.wi.gov/ERF/ERFupload/content/mymenu.aspx" TargetMode="External"/><Relationship Id="rId1" Type="http://schemas.openxmlformats.org/officeDocument/2006/relationships/printerSettings" Target="../printerSettings/printerSettings72.bin"/><Relationship Id="rId6" Type="http://schemas.openxmlformats.org/officeDocument/2006/relationships/printerSettings" Target="../printerSettings/printerSettings73.bin"/><Relationship Id="rId5" Type="http://schemas.openxmlformats.org/officeDocument/2006/relationships/hyperlink" Target="https://apps.psc.wi.gov/ERF/ERF/info/help.aspx" TargetMode="External"/><Relationship Id="rId4" Type="http://schemas.openxmlformats.org/officeDocument/2006/relationships/hyperlink" Target="https://apps.psc.wi.gov/ERF/ERF/ERFhome.aspx" TargetMode="External"/><Relationship Id="rId9" Type="http://schemas.openxmlformats.org/officeDocument/2006/relationships/ctrlProp" Target="../ctrlProps/ctrlProp143.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8.xml"/><Relationship Id="rId13" Type="http://schemas.openxmlformats.org/officeDocument/2006/relationships/ctrlProp" Target="../ctrlProps/ctrlProp41.xml"/><Relationship Id="rId3" Type="http://schemas.openxmlformats.org/officeDocument/2006/relationships/vmlDrawing" Target="../drawings/vmlDrawing3.vml"/><Relationship Id="rId7" Type="http://schemas.openxmlformats.org/officeDocument/2006/relationships/image" Target="../media/image7.emf"/><Relationship Id="rId12" Type="http://schemas.openxmlformats.org/officeDocument/2006/relationships/ctrlProp" Target="../ctrlProps/ctrlProp40.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ontrol" Target="../activeX/activeX7.xml"/><Relationship Id="rId11" Type="http://schemas.openxmlformats.org/officeDocument/2006/relationships/ctrlProp" Target="../ctrlProps/ctrlProp39.xml"/><Relationship Id="rId5" Type="http://schemas.openxmlformats.org/officeDocument/2006/relationships/image" Target="../media/image6.emf"/><Relationship Id="rId10" Type="http://schemas.openxmlformats.org/officeDocument/2006/relationships/ctrlProp" Target="../ctrlProps/ctrlProp38.xml"/><Relationship Id="rId4" Type="http://schemas.openxmlformats.org/officeDocument/2006/relationships/control" Target="../activeX/activeX6.xml"/><Relationship Id="rId9" Type="http://schemas.openxmlformats.org/officeDocument/2006/relationships/image" Target="../media/image8.emf"/></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4.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4.xml"/><Relationship Id="rId16" Type="http://schemas.openxmlformats.org/officeDocument/2006/relationships/ctrlProp" Target="../ctrlProps/ctrlProp54.xml"/><Relationship Id="rId1" Type="http://schemas.openxmlformats.org/officeDocument/2006/relationships/printerSettings" Target="../printerSettings/printerSettings8.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5" Type="http://schemas.openxmlformats.org/officeDocument/2006/relationships/ctrlProp" Target="../ctrlProps/ctrlProp5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 Id="rId14" Type="http://schemas.openxmlformats.org/officeDocument/2006/relationships/ctrlProp" Target="../ctrlProps/ctrlProp5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8.xml"/><Relationship Id="rId3" Type="http://schemas.openxmlformats.org/officeDocument/2006/relationships/drawing" Target="../drawings/drawing5.xml"/><Relationship Id="rId7" Type="http://schemas.openxmlformats.org/officeDocument/2006/relationships/ctrlProp" Target="../ctrlProps/ctrlProp57.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vmlDrawing" Target="../drawings/vmlDrawing5.vml"/><Relationship Id="rId9" Type="http://schemas.openxmlformats.org/officeDocument/2006/relationships/ctrlProp" Target="../ctrlProps/ctrlProp5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3.xml"/><Relationship Id="rId3" Type="http://schemas.openxmlformats.org/officeDocument/2006/relationships/drawing" Target="../drawings/drawing6.xml"/><Relationship Id="rId7" Type="http://schemas.openxmlformats.org/officeDocument/2006/relationships/ctrlProp" Target="../ctrlProps/ctrlProp6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trlProp" Target="../ctrlProps/ctrlProp61.xml"/><Relationship Id="rId5" Type="http://schemas.openxmlformats.org/officeDocument/2006/relationships/ctrlProp" Target="../ctrlProps/ctrlProp60.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K33"/>
  <sheetViews>
    <sheetView showGridLines="0" workbookViewId="0">
      <selection activeCell="J12" sqref="J12"/>
    </sheetView>
  </sheetViews>
  <sheetFormatPr defaultColWidth="9.109375" defaultRowHeight="13.2" x14ac:dyDescent="0.25"/>
  <cols>
    <col min="1" max="1" width="15.88671875" style="2" customWidth="1"/>
    <col min="2" max="2" width="11.33203125" style="2" customWidth="1"/>
    <col min="3" max="3" width="13" style="2" customWidth="1"/>
    <col min="4" max="5" width="9.109375" style="2"/>
    <col min="6" max="6" width="9.6640625" style="2" customWidth="1"/>
    <col min="7" max="16384" width="9.109375" style="2"/>
  </cols>
  <sheetData>
    <row r="1" spans="1:11" x14ac:dyDescent="0.25">
      <c r="A1" s="1994"/>
      <c r="B1" s="1995"/>
      <c r="C1" s="1929"/>
      <c r="D1" s="1929"/>
      <c r="E1" s="1929"/>
      <c r="F1" s="1929"/>
      <c r="G1" s="1929"/>
      <c r="H1" s="1929"/>
      <c r="I1" s="1929"/>
      <c r="J1" s="1929"/>
      <c r="K1" s="1930"/>
    </row>
    <row r="2" spans="1:11" x14ac:dyDescent="0.25">
      <c r="A2" s="1996">
        <v>44823.644097222219</v>
      </c>
      <c r="B2" s="1709"/>
      <c r="C2" s="866"/>
      <c r="D2" s="866"/>
      <c r="E2" s="866"/>
      <c r="F2" s="866"/>
      <c r="G2" s="866"/>
      <c r="H2" s="866"/>
      <c r="I2" s="866"/>
      <c r="J2" s="866"/>
      <c r="K2" s="1931"/>
    </row>
    <row r="3" spans="1:11" x14ac:dyDescent="0.25">
      <c r="A3" s="1997"/>
      <c r="B3" s="866"/>
      <c r="C3" s="866"/>
      <c r="D3" s="866"/>
      <c r="E3" s="866"/>
      <c r="F3" s="866"/>
      <c r="G3" s="866"/>
      <c r="H3" s="866"/>
      <c r="I3" s="866"/>
      <c r="J3" s="866"/>
      <c r="K3" s="1931"/>
    </row>
    <row r="4" spans="1:11" x14ac:dyDescent="0.25">
      <c r="A4" s="1997"/>
      <c r="B4" s="866"/>
      <c r="C4" s="1709"/>
      <c r="D4" s="866"/>
      <c r="E4" s="866"/>
      <c r="F4" s="866"/>
      <c r="G4" s="866"/>
      <c r="H4" s="866"/>
      <c r="I4" s="866"/>
      <c r="J4" s="866"/>
      <c r="K4" s="1931"/>
    </row>
    <row r="5" spans="1:11" x14ac:dyDescent="0.25">
      <c r="A5" s="1997"/>
      <c r="B5" s="866"/>
      <c r="C5" s="1994"/>
      <c r="D5" s="1929"/>
      <c r="E5" s="1929"/>
      <c r="F5" s="1929"/>
      <c r="G5" s="1929"/>
      <c r="H5" s="1929"/>
      <c r="I5" s="1929"/>
      <c r="J5" s="1930"/>
      <c r="K5" s="1931"/>
    </row>
    <row r="6" spans="1:11" x14ac:dyDescent="0.25">
      <c r="A6" s="1997"/>
      <c r="B6" s="866"/>
      <c r="C6" s="2002" t="s">
        <v>0</v>
      </c>
      <c r="D6" s="866"/>
      <c r="E6" s="1998" t="s">
        <v>1</v>
      </c>
      <c r="F6" s="866"/>
      <c r="G6" s="866"/>
      <c r="H6" s="866"/>
      <c r="I6" s="866"/>
      <c r="J6" s="1931"/>
      <c r="K6" s="1931"/>
    </row>
    <row r="7" spans="1:11" x14ac:dyDescent="0.25">
      <c r="A7" s="1997"/>
      <c r="B7" s="866"/>
      <c r="C7" s="2002"/>
      <c r="D7" s="1999"/>
      <c r="E7" s="866"/>
      <c r="F7" s="866"/>
      <c r="G7" s="866"/>
      <c r="H7" s="866"/>
      <c r="I7" s="866"/>
      <c r="J7" s="1931"/>
      <c r="K7" s="1931"/>
    </row>
    <row r="8" spans="1:11" x14ac:dyDescent="0.25">
      <c r="A8" s="1997"/>
      <c r="B8" s="866"/>
      <c r="C8" s="2002" t="s">
        <v>2</v>
      </c>
      <c r="D8" s="866"/>
      <c r="E8" s="866"/>
      <c r="F8" s="866"/>
      <c r="G8" s="866"/>
      <c r="H8" s="866"/>
      <c r="I8" s="866"/>
      <c r="J8" s="1931"/>
      <c r="K8" s="1931"/>
    </row>
    <row r="9" spans="1:11" x14ac:dyDescent="0.25">
      <c r="A9" s="1997"/>
      <c r="B9" s="866"/>
      <c r="C9" s="2002"/>
      <c r="D9" s="866"/>
      <c r="E9" s="866"/>
      <c r="F9" s="866"/>
      <c r="G9" s="866"/>
      <c r="H9" s="866"/>
      <c r="I9" s="866"/>
      <c r="J9" s="1931"/>
      <c r="K9" s="1931"/>
    </row>
    <row r="10" spans="1:11" x14ac:dyDescent="0.25">
      <c r="A10" s="1997"/>
      <c r="B10" s="866"/>
      <c r="C10" s="2002" t="s">
        <v>3</v>
      </c>
      <c r="D10" s="866"/>
      <c r="E10" s="866"/>
      <c r="F10" s="866"/>
      <c r="G10" s="866"/>
      <c r="H10" s="866"/>
      <c r="I10" s="866"/>
      <c r="J10" s="1931"/>
      <c r="K10" s="1931"/>
    </row>
    <row r="11" spans="1:11" x14ac:dyDescent="0.25">
      <c r="A11" s="1997"/>
      <c r="B11" s="866"/>
      <c r="C11" s="1997"/>
      <c r="D11" s="1999"/>
      <c r="E11" s="866"/>
      <c r="F11" s="866"/>
      <c r="G11" s="866"/>
      <c r="H11" s="866"/>
      <c r="I11" s="866"/>
      <c r="J11" s="1931"/>
      <c r="K11" s="1931"/>
    </row>
    <row r="12" spans="1:11" x14ac:dyDescent="0.25">
      <c r="A12" s="1997"/>
      <c r="B12" s="866"/>
      <c r="C12" s="1997"/>
      <c r="D12" s="866"/>
      <c r="E12" s="866"/>
      <c r="F12" s="866"/>
      <c r="G12" s="866"/>
      <c r="H12" s="866"/>
      <c r="I12" s="866"/>
      <c r="J12" s="1931"/>
      <c r="K12" s="1931"/>
    </row>
    <row r="13" spans="1:11" x14ac:dyDescent="0.25">
      <c r="A13" s="1997"/>
      <c r="B13" s="866"/>
      <c r="C13" s="1997"/>
      <c r="D13" s="1999"/>
      <c r="E13" s="866"/>
      <c r="F13" s="866"/>
      <c r="G13" s="866"/>
      <c r="H13" s="866"/>
      <c r="I13" s="866"/>
      <c r="J13" s="1931"/>
      <c r="K13" s="1931"/>
    </row>
    <row r="14" spans="1:11" x14ac:dyDescent="0.25">
      <c r="A14" s="1997"/>
      <c r="B14" s="866"/>
      <c r="C14" s="1932"/>
      <c r="D14" s="1933"/>
      <c r="E14" s="1933"/>
      <c r="F14" s="1933"/>
      <c r="G14" s="1933"/>
      <c r="H14" s="1933"/>
      <c r="I14" s="1933"/>
      <c r="J14" s="1934"/>
      <c r="K14" s="1931"/>
    </row>
    <row r="15" spans="1:11" x14ac:dyDescent="0.25">
      <c r="A15" s="1997"/>
      <c r="B15" s="866"/>
      <c r="C15" s="866"/>
      <c r="D15" s="866"/>
      <c r="E15" s="866"/>
      <c r="F15" s="866"/>
      <c r="G15" s="866"/>
      <c r="H15" s="866"/>
      <c r="I15" s="866"/>
      <c r="J15" s="866"/>
      <c r="K15" s="1931"/>
    </row>
    <row r="16" spans="1:11" x14ac:dyDescent="0.25">
      <c r="A16" s="1997"/>
      <c r="B16" s="866"/>
      <c r="C16" s="866"/>
      <c r="D16" s="866"/>
      <c r="E16" s="866"/>
      <c r="F16" s="866"/>
      <c r="G16" s="866"/>
      <c r="H16" s="866"/>
      <c r="I16" s="866"/>
      <c r="J16" s="866"/>
      <c r="K16" s="1931"/>
    </row>
    <row r="17" spans="1:11" x14ac:dyDescent="0.25">
      <c r="A17" s="1997"/>
      <c r="B17" s="866"/>
      <c r="C17" s="866"/>
      <c r="D17" s="866"/>
      <c r="E17" s="866"/>
      <c r="F17" s="866"/>
      <c r="G17" s="866"/>
      <c r="H17" s="866"/>
      <c r="I17" s="866"/>
      <c r="J17" s="866"/>
      <c r="K17" s="1931"/>
    </row>
    <row r="18" spans="1:11" x14ac:dyDescent="0.25">
      <c r="A18" s="1997"/>
      <c r="B18" s="866"/>
      <c r="C18" s="866"/>
      <c r="D18" s="866"/>
      <c r="E18" s="866"/>
      <c r="F18" s="866"/>
      <c r="G18" s="866"/>
      <c r="H18" s="866"/>
      <c r="I18" s="866"/>
      <c r="J18" s="866"/>
      <c r="K18" s="1931"/>
    </row>
    <row r="19" spans="1:11" x14ac:dyDescent="0.25">
      <c r="A19" s="1997"/>
      <c r="B19" s="866"/>
      <c r="C19" s="866"/>
      <c r="D19" s="866"/>
      <c r="E19" s="866"/>
      <c r="F19" s="866"/>
      <c r="G19" s="866"/>
      <c r="H19" s="866"/>
      <c r="I19" s="866"/>
      <c r="J19" s="866"/>
      <c r="K19" s="1931"/>
    </row>
    <row r="20" spans="1:11" x14ac:dyDescent="0.25">
      <c r="A20" s="1997"/>
      <c r="B20" s="866"/>
      <c r="C20" s="2000" t="s">
        <v>4</v>
      </c>
      <c r="D20" s="866"/>
      <c r="E20" s="866"/>
      <c r="F20" s="866"/>
      <c r="G20" s="866"/>
      <c r="H20" s="866"/>
      <c r="I20" s="866"/>
      <c r="J20" s="866"/>
      <c r="K20" s="1931"/>
    </row>
    <row r="21" spans="1:11" x14ac:dyDescent="0.25">
      <c r="A21" s="1997"/>
      <c r="B21" s="866"/>
      <c r="C21" s="866"/>
      <c r="D21" s="1999"/>
      <c r="E21" s="866"/>
      <c r="F21" s="866"/>
      <c r="G21" s="866"/>
      <c r="H21" s="866"/>
      <c r="I21" s="866"/>
      <c r="J21" s="866"/>
      <c r="K21" s="1931"/>
    </row>
    <row r="22" spans="1:11" x14ac:dyDescent="0.25">
      <c r="A22" s="1997"/>
      <c r="B22" s="866"/>
      <c r="C22" s="1999"/>
      <c r="D22" s="866"/>
      <c r="E22" s="866"/>
      <c r="F22" s="866"/>
      <c r="G22" s="866"/>
      <c r="H22" s="866"/>
      <c r="I22" s="866"/>
      <c r="J22" s="866"/>
      <c r="K22" s="1931"/>
    </row>
    <row r="23" spans="1:11" x14ac:dyDescent="0.25">
      <c r="A23" s="1997"/>
      <c r="B23" s="866"/>
      <c r="C23" s="866"/>
      <c r="D23" s="866"/>
      <c r="E23" s="866"/>
      <c r="F23" s="866"/>
      <c r="G23" s="866"/>
      <c r="H23" s="866"/>
      <c r="I23" s="866"/>
      <c r="J23" s="866"/>
      <c r="K23" s="1931"/>
    </row>
    <row r="24" spans="1:11" x14ac:dyDescent="0.25">
      <c r="A24" s="1997"/>
      <c r="B24" s="866"/>
      <c r="C24" s="866"/>
      <c r="D24" s="866"/>
      <c r="E24" s="866"/>
      <c r="F24" s="866"/>
      <c r="G24" s="866"/>
      <c r="H24" s="866"/>
      <c r="I24" s="866"/>
      <c r="J24" s="866"/>
      <c r="K24" s="1931"/>
    </row>
    <row r="25" spans="1:11" x14ac:dyDescent="0.25">
      <c r="A25" s="1997"/>
      <c r="B25" s="866"/>
      <c r="C25" s="866"/>
      <c r="D25" s="866"/>
      <c r="E25" s="866"/>
      <c r="F25" s="866"/>
      <c r="G25" s="866"/>
      <c r="H25" s="866"/>
      <c r="I25" s="866"/>
      <c r="J25" s="866"/>
      <c r="K25" s="1931"/>
    </row>
    <row r="26" spans="1:11" x14ac:dyDescent="0.25">
      <c r="A26" s="1997"/>
      <c r="B26" s="1999" t="s">
        <v>5</v>
      </c>
      <c r="C26" s="2001"/>
      <c r="D26" s="866"/>
      <c r="E26" s="866"/>
      <c r="F26" s="866"/>
      <c r="G26" s="866"/>
      <c r="H26" s="866"/>
      <c r="I26" s="866"/>
      <c r="J26" s="866"/>
      <c r="K26" s="1931"/>
    </row>
    <row r="27" spans="1:11" x14ac:dyDescent="0.25">
      <c r="A27" s="1997"/>
      <c r="B27" s="866"/>
      <c r="C27" s="866"/>
      <c r="D27" s="866"/>
      <c r="E27" s="866"/>
      <c r="F27" s="866"/>
      <c r="G27" s="866"/>
      <c r="H27" s="866"/>
      <c r="I27" s="866"/>
      <c r="J27" s="866"/>
      <c r="K27" s="1931"/>
    </row>
    <row r="28" spans="1:11" x14ac:dyDescent="0.25">
      <c r="A28" s="1997"/>
      <c r="B28" s="866"/>
      <c r="C28" s="866"/>
      <c r="D28" s="866"/>
      <c r="E28" s="866"/>
      <c r="F28" s="866"/>
      <c r="G28" s="866"/>
      <c r="H28" s="866"/>
      <c r="I28" s="866"/>
      <c r="J28" s="866"/>
      <c r="K28" s="1931"/>
    </row>
    <row r="29" spans="1:11" x14ac:dyDescent="0.25">
      <c r="A29" s="1997"/>
      <c r="B29" s="866"/>
      <c r="C29" s="866"/>
      <c r="D29" s="866"/>
      <c r="E29" s="866"/>
      <c r="F29" s="866"/>
      <c r="G29" s="866"/>
      <c r="H29" s="866"/>
      <c r="I29" s="866"/>
      <c r="J29" s="866"/>
      <c r="K29" s="1931"/>
    </row>
    <row r="30" spans="1:11" x14ac:dyDescent="0.25">
      <c r="A30" s="1997"/>
      <c r="B30" s="866"/>
      <c r="C30" s="866"/>
      <c r="D30" s="866"/>
      <c r="E30" s="866"/>
      <c r="F30" s="866"/>
      <c r="G30" s="866"/>
      <c r="H30" s="866"/>
      <c r="I30" s="866"/>
      <c r="J30" s="866"/>
      <c r="K30" s="1931"/>
    </row>
    <row r="31" spans="1:11" x14ac:dyDescent="0.25">
      <c r="A31" s="1997"/>
      <c r="B31" s="866"/>
      <c r="C31" s="866"/>
      <c r="D31" s="866"/>
      <c r="E31" s="866"/>
      <c r="F31" s="866"/>
      <c r="G31" s="866"/>
      <c r="H31" s="866"/>
      <c r="I31" s="866"/>
      <c r="J31" s="866"/>
      <c r="K31" s="1931"/>
    </row>
    <row r="32" spans="1:11" x14ac:dyDescent="0.25">
      <c r="A32" s="1997"/>
      <c r="B32" s="866"/>
      <c r="C32" s="866"/>
      <c r="D32" s="866"/>
      <c r="E32" s="866"/>
      <c r="F32" s="866"/>
      <c r="G32" s="866"/>
      <c r="H32" s="866"/>
      <c r="I32" s="866"/>
      <c r="J32" s="866"/>
      <c r="K32" s="1931"/>
    </row>
    <row r="33" spans="1:11" x14ac:dyDescent="0.25">
      <c r="A33" s="1932"/>
      <c r="B33" s="1933"/>
      <c r="C33" s="1933"/>
      <c r="D33" s="1933"/>
      <c r="E33" s="1933"/>
      <c r="F33" s="1933"/>
      <c r="G33" s="1933"/>
      <c r="H33" s="1933"/>
      <c r="I33" s="1933"/>
      <c r="J33" s="1933"/>
      <c r="K33" s="1934"/>
    </row>
  </sheetData>
  <sheetProtection password="E593" sheet="1" objects="1" scenarios="1"/>
  <customSheetViews>
    <customSheetView guid="{B63065A1-7838-417A-8679-08A8A2B79CD8}">
      <selection activeCell="C13" sqref="C13"/>
      <pageMargins left="0.75" right="0.75" top="1" bottom="1" header="0.5" footer="0.5"/>
      <pageSetup orientation="portrait" verticalDpi="1200" r:id="rId1"/>
      <headerFooter alignWithMargins="0"/>
    </customSheetView>
  </customSheetViews>
  <pageMargins left="0.75" right="0.75" top="1" bottom="1" header="0.5" footer="0.5"/>
  <pageSetup orientation="portrait" verticalDpi="1200" r:id="rId2"/>
  <headerFooter alignWithMargins="0"/>
  <drawing r:id="rId3"/>
  <legacyDrawing r:id="rId4"/>
  <controls>
    <mc:AlternateContent xmlns:mc="http://schemas.openxmlformats.org/markup-compatibility/2006">
      <mc:Choice Requires="x14">
        <control shapeId="1029" r:id="rId5" name="cmdStart">
          <controlPr defaultSize="0" autoLine="0" r:id="rId6">
            <anchor moveWithCells="1">
              <from>
                <xdr:col>3</xdr:col>
                <xdr:colOff>7620</xdr:colOff>
                <xdr:row>1</xdr:row>
                <xdr:rowOff>68580</xdr:rowOff>
              </from>
              <to>
                <xdr:col>5</xdr:col>
                <xdr:colOff>365760</xdr:colOff>
                <xdr:row>3</xdr:row>
                <xdr:rowOff>60960</xdr:rowOff>
              </to>
            </anchor>
          </controlPr>
        </control>
      </mc:Choice>
      <mc:Fallback>
        <control shapeId="1029" r:id="rId5" name="cmdStart"/>
      </mc:Fallback>
    </mc:AlternateContent>
    <mc:AlternateContent xmlns:mc="http://schemas.openxmlformats.org/markup-compatibility/2006">
      <mc:Choice Requires="x14">
        <control shapeId="1028" r:id="rId7" name="cboClass">
          <controlPr autoLine="0" r:id="rId8">
            <anchor moveWithCells="1">
              <from>
                <xdr:col>3</xdr:col>
                <xdr:colOff>0</xdr:colOff>
                <xdr:row>4</xdr:row>
                <xdr:rowOff>160020</xdr:rowOff>
              </from>
              <to>
                <xdr:col>4</xdr:col>
                <xdr:colOff>160020</xdr:colOff>
                <xdr:row>6</xdr:row>
                <xdr:rowOff>114300</xdr:rowOff>
              </to>
            </anchor>
          </controlPr>
        </control>
      </mc:Choice>
      <mc:Fallback>
        <control shapeId="1028" r:id="rId7" name="cboClass"/>
      </mc:Fallback>
    </mc:AlternateContent>
    <mc:AlternateContent xmlns:mc="http://schemas.openxmlformats.org/markup-compatibility/2006">
      <mc:Choice Requires="x14">
        <control shapeId="1027" r:id="rId9" name="cmdOK">
          <controlPr defaultSize="0" disabled="1" autoLine="0" r:id="rId10">
            <anchor moveWithCells="1">
              <from>
                <xdr:col>3</xdr:col>
                <xdr:colOff>0</xdr:colOff>
                <xdr:row>11</xdr:row>
                <xdr:rowOff>22860</xdr:rowOff>
              </from>
              <to>
                <xdr:col>5</xdr:col>
                <xdr:colOff>449580</xdr:colOff>
                <xdr:row>13</xdr:row>
                <xdr:rowOff>30480</xdr:rowOff>
              </to>
            </anchor>
          </controlPr>
        </control>
      </mc:Choice>
      <mc:Fallback>
        <control shapeId="1027" r:id="rId9" name="cmdOK"/>
      </mc:Fallback>
    </mc:AlternateContent>
    <mc:AlternateContent xmlns:mc="http://schemas.openxmlformats.org/markup-compatibility/2006">
      <mc:Choice Requires="x14">
        <control shapeId="1026" r:id="rId11" name="cboUtilName">
          <controlPr defaultSize="0" autoLine="0" r:id="rId12">
            <anchor moveWithCells="1">
              <from>
                <xdr:col>3</xdr:col>
                <xdr:colOff>0</xdr:colOff>
                <xdr:row>7</xdr:row>
                <xdr:rowOff>7620</xdr:rowOff>
              </from>
              <to>
                <xdr:col>8</xdr:col>
                <xdr:colOff>373380</xdr:colOff>
                <xdr:row>8</xdr:row>
                <xdr:rowOff>129540</xdr:rowOff>
              </to>
            </anchor>
          </controlPr>
        </control>
      </mc:Choice>
      <mc:Fallback>
        <control shapeId="1026" r:id="rId11" name="cboUtilName"/>
      </mc:Fallback>
    </mc:AlternateContent>
    <mc:AlternateContent xmlns:mc="http://schemas.openxmlformats.org/markup-compatibility/2006">
      <mc:Choice Requires="x14">
        <control shapeId="1025" r:id="rId13" name="txtYear">
          <controlPr defaultSize="0" autoLine="0" r:id="rId14">
            <anchor moveWithCells="1">
              <from>
                <xdr:col>3</xdr:col>
                <xdr:colOff>0</xdr:colOff>
                <xdr:row>8</xdr:row>
                <xdr:rowOff>137160</xdr:rowOff>
              </from>
              <to>
                <xdr:col>4</xdr:col>
                <xdr:colOff>0</xdr:colOff>
                <xdr:row>10</xdr:row>
                <xdr:rowOff>7620</xdr:rowOff>
              </to>
            </anchor>
          </controlPr>
        </control>
      </mc:Choice>
      <mc:Fallback>
        <control shapeId="1025" r:id="rId13" name="txtYear"/>
      </mc:Fallback>
    </mc:AlternateContent>
    <mc:AlternateContent xmlns:mc="http://schemas.openxmlformats.org/markup-compatibility/2006">
      <mc:Choice Requires="x14">
        <control shapeId="1030" r:id="rId15" name="Button 6">
          <controlPr defaultSize="0" print="0" autoFill="0" autoPict="0" macro="[0]!LockDownWorkbookForUtilityUse">
            <anchor moveWithCells="1" sizeWithCells="1">
              <from>
                <xdr:col>2</xdr:col>
                <xdr:colOff>845820</xdr:colOff>
                <xdr:row>14</xdr:row>
                <xdr:rowOff>137160</xdr:rowOff>
              </from>
              <to>
                <xdr:col>8</xdr:col>
                <xdr:colOff>274320</xdr:colOff>
                <xdr:row>18</xdr:row>
                <xdr:rowOff>22860</xdr:rowOff>
              </to>
            </anchor>
          </controlPr>
        </control>
      </mc:Choice>
    </mc:AlternateContent>
    <mc:AlternateContent xmlns:mc="http://schemas.openxmlformats.org/markup-compatibility/2006">
      <mc:Choice Requires="x14">
        <control shapeId="1031" r:id="rId16" name="Button 7">
          <controlPr defaultSize="0" print="0" autoFill="0" autoPict="0" macro="[0]!SendtoTool.SendtoTool">
            <anchor moveWithCells="1" sizeWithCells="1">
              <from>
                <xdr:col>3</xdr:col>
                <xdr:colOff>358140</xdr:colOff>
                <xdr:row>21</xdr:row>
                <xdr:rowOff>91440</xdr:rowOff>
              </from>
              <to>
                <xdr:col>7</xdr:col>
                <xdr:colOff>419100</xdr:colOff>
                <xdr:row>25</xdr:row>
                <xdr:rowOff>22860</xdr:rowOff>
              </to>
            </anchor>
          </controlPr>
        </control>
      </mc:Choice>
    </mc:AlternateContent>
    <mc:AlternateContent xmlns:mc="http://schemas.openxmlformats.org/markup-compatibility/2006">
      <mc:Choice Requires="x14">
        <control shapeId="1035" r:id="rId17" name="Button 11">
          <controlPr defaultSize="0" print="0" autoFill="0" autoPict="0">
            <anchor moveWithCells="1" sizeWithCells="1">
              <from>
                <xdr:col>3</xdr:col>
                <xdr:colOff>350520</xdr:colOff>
                <xdr:row>26</xdr:row>
                <xdr:rowOff>160020</xdr:rowOff>
              </from>
              <to>
                <xdr:col>7</xdr:col>
                <xdr:colOff>403860</xdr:colOff>
                <xdr:row>30</xdr:row>
                <xdr:rowOff>76200</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CV247"/>
  <sheetViews>
    <sheetView showGridLines="0" zoomScaleNormal="100" workbookViewId="0">
      <selection activeCell="G2" sqref="G2"/>
    </sheetView>
  </sheetViews>
  <sheetFormatPr defaultRowHeight="13.2" x14ac:dyDescent="0.25"/>
  <cols>
    <col min="1" max="1" width="10" style="28" customWidth="1"/>
    <col min="2" max="2" width="4.5546875" style="28" customWidth="1"/>
    <col min="3" max="3" width="4.33203125" style="28" customWidth="1"/>
    <col min="4" max="4" width="11.6640625" style="28" customWidth="1"/>
    <col min="5" max="5" width="10.44140625" style="28" customWidth="1"/>
    <col min="6" max="6" width="5.44140625" style="28" customWidth="1"/>
    <col min="7" max="12" width="13.6640625" style="28" customWidth="1"/>
    <col min="13" max="13" width="14.44140625" style="28" customWidth="1"/>
    <col min="14" max="14" width="11.5546875" style="28" customWidth="1"/>
    <col min="15" max="15" width="12.109375" style="28" customWidth="1"/>
    <col min="16" max="16" width="12.109375" style="57" customWidth="1"/>
    <col min="17" max="17" width="17.88671875" style="57" customWidth="1"/>
    <col min="18" max="18" width="12.109375" style="57" customWidth="1"/>
    <col min="19" max="19" width="17.88671875" style="28" customWidth="1"/>
    <col min="20" max="16384" width="8.88671875" style="28"/>
  </cols>
  <sheetData>
    <row r="1" spans="1:100" ht="26.25" customHeight="1" x14ac:dyDescent="0.25">
      <c r="A1" s="78"/>
      <c r="B1" s="81"/>
      <c r="C1" s="176"/>
      <c r="D1" s="79"/>
      <c r="E1" s="78"/>
      <c r="F1" s="78"/>
      <c r="G1" s="78"/>
      <c r="H1" s="78"/>
      <c r="I1" s="78"/>
      <c r="J1" s="78"/>
      <c r="K1" s="78"/>
      <c r="L1" s="78"/>
      <c r="M1" s="78"/>
      <c r="N1" s="182"/>
      <c r="O1" s="78"/>
      <c r="CT1" s="29"/>
      <c r="CU1" s="29"/>
      <c r="CV1" s="29"/>
    </row>
    <row r="2" spans="1:100" ht="25.5" customHeight="1" x14ac:dyDescent="0.25">
      <c r="A2" s="78"/>
      <c r="B2" s="78"/>
      <c r="C2" s="78"/>
      <c r="D2" s="177"/>
      <c r="E2" s="78"/>
      <c r="F2" s="218"/>
      <c r="G2" s="219"/>
      <c r="H2" s="219"/>
      <c r="I2" s="78"/>
      <c r="J2" s="219"/>
      <c r="K2" s="219"/>
      <c r="L2" s="219"/>
      <c r="M2" s="219"/>
      <c r="N2" s="219"/>
      <c r="O2" s="220"/>
      <c r="P2" s="1100"/>
      <c r="Q2" s="1100"/>
      <c r="R2" s="1100"/>
      <c r="CT2" s="29"/>
      <c r="CU2" s="71">
        <f>IF(Attach1!C8="100 Cubic Feet (CCF)",1, 2)</f>
        <v>2</v>
      </c>
      <c r="CV2" s="29"/>
    </row>
    <row r="3" spans="1:100" ht="20.25" customHeight="1" x14ac:dyDescent="0.25">
      <c r="A3" s="78"/>
      <c r="B3" s="78"/>
      <c r="C3" s="78"/>
      <c r="D3" s="78"/>
      <c r="E3" s="78"/>
      <c r="F3" s="78"/>
      <c r="G3" s="78"/>
      <c r="H3" s="78"/>
      <c r="I3" s="2041" t="str">
        <f>Utility</f>
        <v>Cleveland Water Utility</v>
      </c>
      <c r="J3" s="78"/>
      <c r="K3" s="78"/>
      <c r="L3" s="78"/>
      <c r="M3" s="78"/>
      <c r="N3" s="78"/>
      <c r="O3" s="78"/>
      <c r="CT3" s="29"/>
      <c r="CU3" s="29"/>
      <c r="CV3" s="29"/>
    </row>
    <row r="4" spans="1:100" ht="21" customHeight="1" x14ac:dyDescent="0.25">
      <c r="A4" s="78"/>
      <c r="B4" s="2052" t="str">
        <f>TestYear &amp; " Test Year"</f>
        <v>2023 Test Year</v>
      </c>
      <c r="C4" s="78"/>
      <c r="D4" s="78"/>
      <c r="E4" s="78"/>
      <c r="F4" s="221"/>
      <c r="G4" s="80"/>
      <c r="H4" s="80"/>
      <c r="I4" s="1748" t="s">
        <v>876</v>
      </c>
      <c r="J4" s="80"/>
      <c r="K4" s="80"/>
      <c r="L4" s="80"/>
      <c r="M4" s="80"/>
      <c r="N4" s="2053" t="s">
        <v>952</v>
      </c>
      <c r="O4" s="222"/>
      <c r="P4" s="1101"/>
      <c r="Q4" s="1101"/>
      <c r="R4" s="1101"/>
    </row>
    <row r="5" spans="1:100" ht="15" customHeight="1" x14ac:dyDescent="0.25">
      <c r="A5" s="78"/>
      <c r="B5" s="1751"/>
      <c r="C5" s="1752"/>
      <c r="D5" s="2040" t="s">
        <v>1336</v>
      </c>
      <c r="E5" s="1752"/>
      <c r="F5" s="1752"/>
      <c r="G5" s="1752"/>
      <c r="H5" s="1752"/>
      <c r="I5" s="1752"/>
      <c r="J5" s="1752"/>
      <c r="K5" s="1752"/>
      <c r="L5" s="1752"/>
      <c r="M5" s="1752"/>
      <c r="N5" s="1753"/>
      <c r="O5" s="78"/>
    </row>
    <row r="6" spans="1:100" ht="15.45" customHeight="1" x14ac:dyDescent="0.25">
      <c r="A6" s="78"/>
      <c r="B6" s="1765"/>
      <c r="C6" s="205"/>
      <c r="D6" s="2034" t="s">
        <v>1243</v>
      </c>
      <c r="E6" s="205"/>
      <c r="F6" s="205"/>
      <c r="G6" s="205"/>
      <c r="H6" s="205"/>
      <c r="I6" s="205"/>
      <c r="J6" s="205"/>
      <c r="K6" s="205"/>
      <c r="L6" s="205"/>
      <c r="M6" s="205"/>
      <c r="N6" s="1754"/>
      <c r="O6" s="78"/>
    </row>
    <row r="7" spans="1:100" ht="26.4" customHeight="1" x14ac:dyDescent="0.25">
      <c r="A7" s="78"/>
      <c r="B7" s="1765"/>
      <c r="C7" s="205"/>
      <c r="D7" s="2358" t="s">
        <v>1242</v>
      </c>
      <c r="E7" s="2358"/>
      <c r="F7" s="2358"/>
      <c r="G7" s="2358"/>
      <c r="H7" s="2358"/>
      <c r="I7" s="2358"/>
      <c r="J7" s="2358"/>
      <c r="K7" s="2358"/>
      <c r="L7" s="2358"/>
      <c r="M7" s="2358"/>
      <c r="N7" s="1754"/>
      <c r="O7" s="78"/>
    </row>
    <row r="8" spans="1:100" ht="15.75" customHeight="1" x14ac:dyDescent="0.25">
      <c r="A8" s="78"/>
      <c r="B8" s="1765"/>
      <c r="C8" s="205"/>
      <c r="D8" s="2034" t="s">
        <v>1337</v>
      </c>
      <c r="E8" s="205"/>
      <c r="F8" s="205"/>
      <c r="G8" s="205"/>
      <c r="H8" s="205"/>
      <c r="I8" s="205"/>
      <c r="J8" s="205"/>
      <c r="K8" s="205"/>
      <c r="L8" s="205"/>
      <c r="M8" s="205"/>
      <c r="N8" s="1754"/>
      <c r="O8" s="78"/>
    </row>
    <row r="9" spans="1:100" ht="15.75" customHeight="1" x14ac:dyDescent="0.25">
      <c r="A9" s="78"/>
      <c r="B9" s="1765"/>
      <c r="C9" s="205"/>
      <c r="D9" s="2034"/>
      <c r="E9" s="205"/>
      <c r="F9" s="205"/>
      <c r="G9" s="205"/>
      <c r="H9" s="205"/>
      <c r="I9" s="205"/>
      <c r="J9" s="205"/>
      <c r="K9" s="205"/>
      <c r="L9" s="205"/>
      <c r="M9" s="205"/>
      <c r="N9" s="1754"/>
      <c r="O9" s="78"/>
    </row>
    <row r="10" spans="1:100" ht="13.8" thickBot="1" x14ac:dyDescent="0.3">
      <c r="A10" s="78"/>
      <c r="B10" s="1765"/>
      <c r="C10" s="205"/>
      <c r="D10" s="2033"/>
      <c r="E10" s="205"/>
      <c r="F10" s="205"/>
      <c r="G10" s="205"/>
      <c r="H10" s="205"/>
      <c r="I10" s="205"/>
      <c r="J10" s="205"/>
      <c r="K10" s="205"/>
      <c r="L10" s="205"/>
      <c r="M10" s="205"/>
      <c r="N10" s="1754"/>
      <c r="O10" s="78"/>
    </row>
    <row r="11" spans="1:100" ht="15" customHeight="1" thickBot="1" x14ac:dyDescent="0.3">
      <c r="A11" s="78"/>
      <c r="B11" s="1729"/>
      <c r="C11" s="157"/>
      <c r="D11" s="157"/>
      <c r="E11" s="217" t="s">
        <v>842</v>
      </c>
      <c r="F11" s="195"/>
      <c r="G11" s="233">
        <f>IF(Question2="Monthly",12,IF(Question2="Quarterly",4,Attach1!E53))</f>
        <v>12</v>
      </c>
      <c r="H11" s="212"/>
      <c r="I11" s="212"/>
      <c r="J11" s="212"/>
      <c r="K11" s="227" t="s">
        <v>170</v>
      </c>
      <c r="L11" s="2353">
        <f>Attach2A!J8</f>
        <v>45107</v>
      </c>
      <c r="M11" s="2354"/>
      <c r="N11" s="1754"/>
      <c r="O11" s="178"/>
      <c r="P11" s="1102"/>
      <c r="Q11" s="1102"/>
      <c r="R11" s="1103"/>
    </row>
    <row r="12" spans="1:100" x14ac:dyDescent="0.25">
      <c r="A12" s="78"/>
      <c r="B12" s="1729"/>
      <c r="C12" s="157"/>
      <c r="D12" s="157"/>
      <c r="E12" s="157"/>
      <c r="F12" s="157"/>
      <c r="G12" s="157"/>
      <c r="H12" s="157"/>
      <c r="I12" s="157"/>
      <c r="J12" s="157"/>
      <c r="K12" s="157"/>
      <c r="L12" s="157"/>
      <c r="M12" s="157"/>
      <c r="N12" s="1755"/>
      <c r="O12" s="78"/>
    </row>
    <row r="13" spans="1:100" ht="26.4" x14ac:dyDescent="0.25">
      <c r="A13" s="78"/>
      <c r="B13" s="1729"/>
      <c r="C13" s="157"/>
      <c r="D13" s="159"/>
      <c r="E13" s="157"/>
      <c r="F13" s="157"/>
      <c r="G13" s="235" t="s">
        <v>9</v>
      </c>
      <c r="H13" s="234" t="s">
        <v>815</v>
      </c>
      <c r="I13" s="235" t="s">
        <v>171</v>
      </c>
      <c r="J13" s="210" t="s">
        <v>10</v>
      </c>
      <c r="K13" s="236" t="s">
        <v>11</v>
      </c>
      <c r="L13" s="210" t="s">
        <v>785</v>
      </c>
      <c r="M13" s="213"/>
      <c r="N13" s="1756"/>
      <c r="O13" s="179"/>
      <c r="P13" s="1104"/>
      <c r="Q13" s="1105"/>
      <c r="R13" s="1104"/>
      <c r="S13" s="174"/>
    </row>
    <row r="14" spans="1:100" x14ac:dyDescent="0.25">
      <c r="A14" s="78"/>
      <c r="B14" s="1729"/>
      <c r="C14" s="157"/>
      <c r="D14" s="159"/>
      <c r="E14" s="157"/>
      <c r="F14" s="157"/>
      <c r="G14" s="212"/>
      <c r="H14" s="215"/>
      <c r="I14" s="212"/>
      <c r="J14" s="214"/>
      <c r="K14" s="216"/>
      <c r="L14" s="214"/>
      <c r="M14" s="213"/>
      <c r="N14" s="1756"/>
      <c r="O14" s="179"/>
      <c r="P14" s="1104"/>
      <c r="Q14" s="1105"/>
      <c r="R14" s="1104"/>
      <c r="S14" s="174"/>
    </row>
    <row r="15" spans="1:100" x14ac:dyDescent="0.25">
      <c r="A15" s="78"/>
      <c r="B15" s="1729"/>
      <c r="C15" s="157"/>
      <c r="D15" s="110"/>
      <c r="E15" s="158"/>
      <c r="F15" s="158"/>
      <c r="G15" s="2371" t="s">
        <v>840</v>
      </c>
      <c r="H15" s="2371" t="s">
        <v>840</v>
      </c>
      <c r="I15" s="2371" t="s">
        <v>840</v>
      </c>
      <c r="J15" s="2371" t="s">
        <v>840</v>
      </c>
      <c r="K15" s="2371" t="s">
        <v>840</v>
      </c>
      <c r="L15" s="2371" t="s">
        <v>840</v>
      </c>
      <c r="M15" s="207"/>
      <c r="N15" s="1757"/>
      <c r="O15" s="180"/>
      <c r="P15" s="1106"/>
      <c r="Q15" s="1110"/>
      <c r="R15" s="1106"/>
      <c r="S15" s="175"/>
    </row>
    <row r="16" spans="1:100" x14ac:dyDescent="0.25">
      <c r="A16" s="78"/>
      <c r="B16" s="1729"/>
      <c r="C16" s="157"/>
      <c r="D16" s="209" t="s">
        <v>159</v>
      </c>
      <c r="E16" s="209" t="s">
        <v>841</v>
      </c>
      <c r="F16" s="206"/>
      <c r="G16" s="2372"/>
      <c r="H16" s="2372"/>
      <c r="I16" s="2372"/>
      <c r="J16" s="2372"/>
      <c r="K16" s="2372"/>
      <c r="L16" s="2372"/>
      <c r="M16" s="211" t="s">
        <v>645</v>
      </c>
      <c r="N16" s="1758"/>
      <c r="O16" s="180"/>
      <c r="P16" s="1106"/>
      <c r="Q16" s="1111"/>
      <c r="R16" s="1106"/>
      <c r="S16" s="36"/>
    </row>
    <row r="17" spans="1:19" x14ac:dyDescent="0.25">
      <c r="A17" s="78"/>
      <c r="B17" s="1729"/>
      <c r="C17" s="157"/>
      <c r="D17" s="157"/>
      <c r="E17" s="157"/>
      <c r="F17" s="157"/>
      <c r="G17" s="157"/>
      <c r="H17" s="191"/>
      <c r="I17" s="157"/>
      <c r="J17" s="157"/>
      <c r="K17" s="157"/>
      <c r="L17" s="191"/>
      <c r="M17" s="191"/>
      <c r="N17" s="1759"/>
      <c r="O17" s="180"/>
      <c r="P17" s="1106"/>
      <c r="Q17" s="1109"/>
      <c r="R17" s="1106"/>
      <c r="S17" s="32"/>
    </row>
    <row r="18" spans="1:19" ht="15" customHeight="1" x14ac:dyDescent="0.25">
      <c r="A18" s="78"/>
      <c r="B18" s="1729"/>
      <c r="C18" s="157"/>
      <c r="D18" s="110" t="s">
        <v>177</v>
      </c>
      <c r="E18" s="204">
        <v>11.21</v>
      </c>
      <c r="F18" s="188"/>
      <c r="G18" s="199">
        <v>613</v>
      </c>
      <c r="H18" s="199">
        <v>0</v>
      </c>
      <c r="I18" s="197">
        <v>24</v>
      </c>
      <c r="J18" s="199">
        <v>1</v>
      </c>
      <c r="K18" s="197">
        <v>5</v>
      </c>
      <c r="L18" s="199">
        <v>0</v>
      </c>
      <c r="M18" s="1490">
        <f t="shared" ref="M18:M30" si="0">SUM(G18+H18+I18+J18+K18+L18)</f>
        <v>643</v>
      </c>
      <c r="N18" s="1760"/>
      <c r="O18" s="180"/>
      <c r="P18" s="1106"/>
      <c r="Q18" s="1107"/>
      <c r="R18" s="1106"/>
      <c r="S18" s="55"/>
    </row>
    <row r="19" spans="1:19" ht="15" customHeight="1" x14ac:dyDescent="0.25">
      <c r="A19" s="78"/>
      <c r="B19" s="1729"/>
      <c r="C19" s="157"/>
      <c r="D19" s="110" t="s">
        <v>178</v>
      </c>
      <c r="E19" s="204">
        <v>11.21</v>
      </c>
      <c r="F19" s="188"/>
      <c r="G19" s="200">
        <v>0</v>
      </c>
      <c r="H19" s="200">
        <v>0</v>
      </c>
      <c r="I19" s="198">
        <v>0</v>
      </c>
      <c r="J19" s="200">
        <v>0</v>
      </c>
      <c r="K19" s="198">
        <v>0</v>
      </c>
      <c r="L19" s="200">
        <v>0</v>
      </c>
      <c r="M19" s="1491">
        <f t="shared" si="0"/>
        <v>0</v>
      </c>
      <c r="N19" s="1760"/>
      <c r="O19" s="180"/>
      <c r="P19" s="1106"/>
      <c r="Q19" s="1107"/>
      <c r="R19" s="1106"/>
      <c r="S19" s="55"/>
    </row>
    <row r="20" spans="1:19" ht="15" customHeight="1" x14ac:dyDescent="0.25">
      <c r="A20" s="78"/>
      <c r="B20" s="1729"/>
      <c r="C20" s="157"/>
      <c r="D20" s="110" t="s">
        <v>179</v>
      </c>
      <c r="E20" s="204">
        <v>14.2</v>
      </c>
      <c r="F20" s="188"/>
      <c r="G20" s="200">
        <v>1</v>
      </c>
      <c r="H20" s="200">
        <v>3</v>
      </c>
      <c r="I20" s="198">
        <v>5</v>
      </c>
      <c r="J20" s="200">
        <v>2</v>
      </c>
      <c r="K20" s="198">
        <v>2</v>
      </c>
      <c r="L20" s="200">
        <v>0</v>
      </c>
      <c r="M20" s="1491">
        <f t="shared" si="0"/>
        <v>13</v>
      </c>
      <c r="N20" s="1760"/>
      <c r="O20" s="180"/>
      <c r="P20" s="1106"/>
      <c r="Q20" s="1107"/>
      <c r="R20" s="1106"/>
      <c r="S20" s="55"/>
    </row>
    <row r="21" spans="1:19" ht="15" customHeight="1" x14ac:dyDescent="0.25">
      <c r="A21" s="78"/>
      <c r="B21" s="1729"/>
      <c r="C21" s="157"/>
      <c r="D21" s="110" t="s">
        <v>180</v>
      </c>
      <c r="E21" s="204">
        <v>17.48</v>
      </c>
      <c r="F21" s="188"/>
      <c r="G21" s="200">
        <v>0</v>
      </c>
      <c r="H21" s="200">
        <v>0</v>
      </c>
      <c r="I21" s="198">
        <v>0</v>
      </c>
      <c r="J21" s="200">
        <v>0</v>
      </c>
      <c r="K21" s="198">
        <v>0</v>
      </c>
      <c r="L21" s="200">
        <v>0</v>
      </c>
      <c r="M21" s="1491">
        <f t="shared" si="0"/>
        <v>0</v>
      </c>
      <c r="N21" s="1760"/>
      <c r="O21" s="180"/>
      <c r="P21" s="1106"/>
      <c r="Q21" s="1107"/>
      <c r="R21" s="1106"/>
      <c r="S21" s="55"/>
    </row>
    <row r="22" spans="1:19" ht="15" customHeight="1" x14ac:dyDescent="0.25">
      <c r="A22" s="78"/>
      <c r="B22" s="1729"/>
      <c r="C22" s="157"/>
      <c r="D22" s="110" t="s">
        <v>181</v>
      </c>
      <c r="E22" s="204">
        <v>20.76</v>
      </c>
      <c r="F22" s="188"/>
      <c r="G22" s="200">
        <v>0</v>
      </c>
      <c r="H22" s="200">
        <v>1</v>
      </c>
      <c r="I22" s="198">
        <v>0</v>
      </c>
      <c r="J22" s="200">
        <v>0</v>
      </c>
      <c r="K22" s="198">
        <v>3</v>
      </c>
      <c r="L22" s="200">
        <v>0</v>
      </c>
      <c r="M22" s="1491">
        <f t="shared" si="0"/>
        <v>4</v>
      </c>
      <c r="N22" s="1760"/>
      <c r="O22" s="180"/>
      <c r="P22" s="1106"/>
      <c r="Q22" s="1107"/>
      <c r="R22" s="1106"/>
      <c r="S22" s="55"/>
    </row>
    <row r="23" spans="1:19" ht="15" customHeight="1" x14ac:dyDescent="0.25">
      <c r="A23" s="78"/>
      <c r="B23" s="1729"/>
      <c r="C23" s="157"/>
      <c r="D23" s="110" t="s">
        <v>182</v>
      </c>
      <c r="E23" s="204">
        <v>60.1</v>
      </c>
      <c r="F23" s="188"/>
      <c r="G23" s="200">
        <v>0</v>
      </c>
      <c r="H23" s="200">
        <v>0</v>
      </c>
      <c r="I23" s="198">
        <v>0</v>
      </c>
      <c r="J23" s="200">
        <v>0</v>
      </c>
      <c r="K23" s="198">
        <v>6</v>
      </c>
      <c r="L23" s="200">
        <v>0</v>
      </c>
      <c r="M23" s="1491">
        <f t="shared" si="0"/>
        <v>6</v>
      </c>
      <c r="N23" s="1760"/>
      <c r="O23" s="180"/>
      <c r="P23" s="1106"/>
      <c r="Q23" s="1107"/>
      <c r="R23" s="1106"/>
      <c r="S23" s="55"/>
    </row>
    <row r="24" spans="1:19" ht="15" customHeight="1" x14ac:dyDescent="0.25">
      <c r="A24" s="78"/>
      <c r="B24" s="1729"/>
      <c r="C24" s="157"/>
      <c r="D24" s="110" t="s">
        <v>183</v>
      </c>
      <c r="E24" s="204">
        <v>0</v>
      </c>
      <c r="F24" s="188"/>
      <c r="G24" s="200">
        <v>0</v>
      </c>
      <c r="H24" s="200">
        <v>0</v>
      </c>
      <c r="I24" s="198">
        <v>0</v>
      </c>
      <c r="J24" s="200">
        <v>0</v>
      </c>
      <c r="K24" s="198">
        <v>0</v>
      </c>
      <c r="L24" s="200">
        <v>0</v>
      </c>
      <c r="M24" s="1491">
        <f t="shared" si="0"/>
        <v>0</v>
      </c>
      <c r="N24" s="1760"/>
      <c r="O24" s="180"/>
      <c r="P24" s="1106"/>
      <c r="Q24" s="1107"/>
      <c r="R24" s="1106"/>
      <c r="S24" s="55"/>
    </row>
    <row r="25" spans="1:19" ht="15" customHeight="1" x14ac:dyDescent="0.25">
      <c r="A25" s="78"/>
      <c r="B25" s="1729"/>
      <c r="C25" s="157"/>
      <c r="D25" s="110" t="s">
        <v>184</v>
      </c>
      <c r="E25" s="204">
        <v>80.87</v>
      </c>
      <c r="F25" s="188"/>
      <c r="G25" s="200">
        <v>0</v>
      </c>
      <c r="H25" s="200">
        <v>0</v>
      </c>
      <c r="I25" s="198">
        <v>0</v>
      </c>
      <c r="J25" s="200">
        <v>1</v>
      </c>
      <c r="K25" s="198">
        <v>1</v>
      </c>
      <c r="L25" s="200">
        <v>0</v>
      </c>
      <c r="M25" s="1491">
        <f t="shared" si="0"/>
        <v>2</v>
      </c>
      <c r="N25" s="1760"/>
      <c r="O25" s="180"/>
      <c r="P25" s="1106"/>
      <c r="Q25" s="1107"/>
      <c r="R25" s="1106"/>
      <c r="S25" s="55"/>
    </row>
    <row r="26" spans="1:19" ht="15" customHeight="1" x14ac:dyDescent="0.25">
      <c r="A26" s="78"/>
      <c r="B26" s="1729"/>
      <c r="C26" s="157"/>
      <c r="D26" s="110" t="s">
        <v>185</v>
      </c>
      <c r="E26" s="204">
        <v>104.91</v>
      </c>
      <c r="F26" s="188"/>
      <c r="G26" s="200">
        <v>0</v>
      </c>
      <c r="H26" s="200">
        <v>0</v>
      </c>
      <c r="I26" s="198">
        <v>0</v>
      </c>
      <c r="J26" s="200">
        <v>0</v>
      </c>
      <c r="K26" s="198">
        <v>0</v>
      </c>
      <c r="L26" s="200">
        <v>0</v>
      </c>
      <c r="M26" s="1491">
        <f t="shared" si="0"/>
        <v>0</v>
      </c>
      <c r="N26" s="1760"/>
      <c r="O26" s="180"/>
      <c r="P26" s="1106"/>
      <c r="Q26" s="1107"/>
      <c r="R26" s="1106"/>
      <c r="S26" s="55"/>
    </row>
    <row r="27" spans="1:19" ht="15" customHeight="1" x14ac:dyDescent="0.25">
      <c r="A27" s="78"/>
      <c r="B27" s="1729"/>
      <c r="C27" s="157"/>
      <c r="D27" s="110" t="s">
        <v>186</v>
      </c>
      <c r="E27" s="204">
        <v>154.08000000000001</v>
      </c>
      <c r="F27" s="188"/>
      <c r="G27" s="200">
        <v>0</v>
      </c>
      <c r="H27" s="200">
        <v>0</v>
      </c>
      <c r="I27" s="198">
        <v>0</v>
      </c>
      <c r="J27" s="200">
        <v>0</v>
      </c>
      <c r="K27" s="198">
        <v>0</v>
      </c>
      <c r="L27" s="200">
        <v>0</v>
      </c>
      <c r="M27" s="1491">
        <f t="shared" si="0"/>
        <v>0</v>
      </c>
      <c r="N27" s="1760"/>
      <c r="O27" s="180"/>
      <c r="P27" s="1106"/>
      <c r="Q27" s="1107"/>
      <c r="R27" s="1106"/>
      <c r="S27" s="55"/>
    </row>
    <row r="28" spans="1:19" ht="15" customHeight="1" x14ac:dyDescent="0.25">
      <c r="A28" s="78"/>
      <c r="B28" s="1729"/>
      <c r="C28" s="157"/>
      <c r="D28" s="110" t="s">
        <v>187</v>
      </c>
      <c r="E28" s="204">
        <v>169.37</v>
      </c>
      <c r="F28" s="188"/>
      <c r="G28" s="200">
        <v>0</v>
      </c>
      <c r="H28" s="200">
        <v>0</v>
      </c>
      <c r="I28" s="198">
        <v>0</v>
      </c>
      <c r="J28" s="200">
        <v>0</v>
      </c>
      <c r="K28" s="198">
        <v>0</v>
      </c>
      <c r="L28" s="200">
        <v>0</v>
      </c>
      <c r="M28" s="1491">
        <f t="shared" si="0"/>
        <v>0</v>
      </c>
      <c r="N28" s="1760"/>
      <c r="O28" s="180"/>
      <c r="P28" s="1106"/>
      <c r="Q28" s="1107"/>
      <c r="R28" s="1106"/>
      <c r="S28" s="55"/>
    </row>
    <row r="29" spans="1:19" ht="15" customHeight="1" x14ac:dyDescent="0.25">
      <c r="A29" s="78"/>
      <c r="B29" s="1729"/>
      <c r="C29" s="157"/>
      <c r="D29" s="110" t="s">
        <v>188</v>
      </c>
      <c r="E29" s="204">
        <v>213.09</v>
      </c>
      <c r="F29" s="188"/>
      <c r="G29" s="200">
        <v>0</v>
      </c>
      <c r="H29" s="200">
        <v>0</v>
      </c>
      <c r="I29" s="198">
        <v>0</v>
      </c>
      <c r="J29" s="200">
        <v>0</v>
      </c>
      <c r="K29" s="198">
        <v>0</v>
      </c>
      <c r="L29" s="200">
        <v>0</v>
      </c>
      <c r="M29" s="1491">
        <f t="shared" si="0"/>
        <v>0</v>
      </c>
      <c r="N29" s="1760"/>
      <c r="O29" s="180"/>
      <c r="P29" s="1106"/>
      <c r="Q29" s="1107"/>
      <c r="R29" s="1106"/>
      <c r="S29" s="55"/>
    </row>
    <row r="30" spans="1:19" ht="15" customHeight="1" x14ac:dyDescent="0.25">
      <c r="A30" s="78"/>
      <c r="B30" s="1729"/>
      <c r="C30" s="157"/>
      <c r="D30" s="110" t="s">
        <v>189</v>
      </c>
      <c r="E30" s="204">
        <v>277.55</v>
      </c>
      <c r="F30" s="188"/>
      <c r="G30" s="201">
        <v>0</v>
      </c>
      <c r="H30" s="201">
        <v>0</v>
      </c>
      <c r="I30" s="196">
        <v>0</v>
      </c>
      <c r="J30" s="201">
        <v>0</v>
      </c>
      <c r="K30" s="196">
        <v>0</v>
      </c>
      <c r="L30" s="201">
        <v>0</v>
      </c>
      <c r="M30" s="1492">
        <f t="shared" si="0"/>
        <v>0</v>
      </c>
      <c r="N30" s="1760"/>
      <c r="O30" s="180"/>
      <c r="P30" s="1106"/>
      <c r="Q30" s="1107"/>
      <c r="R30" s="1106"/>
      <c r="S30" s="55"/>
    </row>
    <row r="31" spans="1:19" ht="15" customHeight="1" x14ac:dyDescent="0.25">
      <c r="A31" s="78"/>
      <c r="B31" s="1729"/>
      <c r="C31" s="157"/>
      <c r="D31" s="157"/>
      <c r="E31" s="157"/>
      <c r="F31" s="157"/>
      <c r="G31" s="192"/>
      <c r="H31" s="192"/>
      <c r="I31" s="192"/>
      <c r="J31" s="192"/>
      <c r="K31" s="192"/>
      <c r="L31" s="192"/>
      <c r="M31" s="192"/>
      <c r="N31" s="1761"/>
      <c r="O31" s="183"/>
      <c r="P31" s="1112"/>
      <c r="Q31" s="1113"/>
      <c r="R31" s="1112"/>
      <c r="S31" s="37"/>
    </row>
    <row r="32" spans="1:19" ht="15" customHeight="1" x14ac:dyDescent="0.25">
      <c r="A32" s="78"/>
      <c r="B32" s="1729"/>
      <c r="C32" s="157"/>
      <c r="D32" s="205"/>
      <c r="E32" s="208" t="s">
        <v>836</v>
      </c>
      <c r="F32" s="157"/>
      <c r="G32" s="202">
        <f t="shared" ref="G32:M32" si="1">SUM(G18:G30)</f>
        <v>614</v>
      </c>
      <c r="H32" s="202">
        <f t="shared" si="1"/>
        <v>4</v>
      </c>
      <c r="I32" s="202">
        <f t="shared" si="1"/>
        <v>29</v>
      </c>
      <c r="J32" s="202">
        <f t="shared" si="1"/>
        <v>4</v>
      </c>
      <c r="K32" s="202">
        <f t="shared" si="1"/>
        <v>17</v>
      </c>
      <c r="L32" s="202">
        <f t="shared" si="1"/>
        <v>0</v>
      </c>
      <c r="M32" s="1493">
        <f t="shared" si="1"/>
        <v>668</v>
      </c>
      <c r="N32" s="1760"/>
      <c r="O32" s="181"/>
      <c r="P32" s="1108"/>
      <c r="Q32" s="1107"/>
      <c r="R32" s="1108"/>
      <c r="S32" s="55"/>
    </row>
    <row r="33" spans="1:19" ht="15" customHeight="1" thickBot="1" x14ac:dyDescent="0.3">
      <c r="A33" s="78"/>
      <c r="B33" s="1729"/>
      <c r="C33" s="157"/>
      <c r="D33" s="205"/>
      <c r="E33" s="208" t="s">
        <v>837</v>
      </c>
      <c r="F33" s="157"/>
      <c r="G33" s="224">
        <f t="shared" ref="G33:M33" si="2">SUM(PRODUCT(G18,$E$18),PRODUCT(G19,$E$19),PRODUCT(G20,$E$20),PRODUCT(G21,$E$21),PRODUCT(G22,$E$22),PRODUCT(G23,$E$23),PRODUCT(G24,$E$24),PRODUCT(G25,$E$25),PRODUCT(G26,$E$26),PRODUCT(G27,$E$27),PRODUCT(G28,$E$28),PRODUCT(G29,$E$29),PRODUCT(G30,$E$30))*BillingPeriods</f>
        <v>82631.16</v>
      </c>
      <c r="H33" s="224">
        <f t="shared" si="2"/>
        <v>760.31999999999994</v>
      </c>
      <c r="I33" s="224">
        <f t="shared" si="2"/>
        <v>4080.4800000000005</v>
      </c>
      <c r="J33" s="224">
        <f t="shared" si="2"/>
        <v>1445.76</v>
      </c>
      <c r="K33" s="224">
        <f t="shared" si="2"/>
        <v>7058.4000000000005</v>
      </c>
      <c r="L33" s="224">
        <f t="shared" si="2"/>
        <v>0</v>
      </c>
      <c r="M33" s="1494">
        <f t="shared" si="2"/>
        <v>95976.12000000001</v>
      </c>
      <c r="N33" s="1762"/>
      <c r="O33" s="184"/>
      <c r="P33" s="1114"/>
      <c r="Q33" s="1114"/>
      <c r="R33" s="1115"/>
      <c r="S33" s="38"/>
    </row>
    <row r="34" spans="1:19" ht="15" customHeight="1" thickTop="1" x14ac:dyDescent="0.25">
      <c r="A34" s="78"/>
      <c r="B34" s="1729"/>
      <c r="C34" s="157"/>
      <c r="D34" s="205"/>
      <c r="E34" s="208"/>
      <c r="F34" s="157"/>
      <c r="G34" s="189"/>
      <c r="H34" s="193"/>
      <c r="I34" s="193"/>
      <c r="J34" s="193"/>
      <c r="K34" s="189"/>
      <c r="L34" s="193"/>
      <c r="M34" s="189"/>
      <c r="N34" s="1762"/>
      <c r="O34" s="184"/>
      <c r="P34" s="1114"/>
      <c r="Q34" s="1114"/>
      <c r="R34" s="1115"/>
      <c r="S34" s="38"/>
    </row>
    <row r="35" spans="1:19" ht="15" customHeight="1" x14ac:dyDescent="0.25">
      <c r="A35" s="78"/>
      <c r="B35" s="1729"/>
      <c r="C35" s="157"/>
      <c r="D35" s="205"/>
      <c r="E35" s="208" t="s">
        <v>875</v>
      </c>
      <c r="F35" s="157"/>
      <c r="G35" s="1170">
        <f>Attach2A!D48</f>
        <v>124257.36</v>
      </c>
      <c r="H35" s="1170">
        <f>Attach2A!E48</f>
        <v>5766.65</v>
      </c>
      <c r="I35" s="1170">
        <f>Attach2A!F48</f>
        <v>5843.0300000000007</v>
      </c>
      <c r="J35" s="1170">
        <f>Attach2A!G48</f>
        <v>6906.9</v>
      </c>
      <c r="K35" s="1170">
        <f>Attach2A!H48</f>
        <v>7507.9500000000007</v>
      </c>
      <c r="L35" s="1170">
        <f>Attach2A!I48</f>
        <v>0</v>
      </c>
      <c r="M35" s="1495">
        <f>Attach2A!J48</f>
        <v>150281.89000000001</v>
      </c>
      <c r="N35" s="1762"/>
      <c r="O35" s="184"/>
      <c r="P35" s="1114"/>
      <c r="Q35" s="1114"/>
      <c r="R35" s="1115"/>
      <c r="S35" s="38"/>
    </row>
    <row r="36" spans="1:19" ht="15" customHeight="1" x14ac:dyDescent="0.25">
      <c r="A36" s="78"/>
      <c r="B36" s="1729"/>
      <c r="C36" s="157"/>
      <c r="D36" s="205"/>
      <c r="E36" s="208"/>
      <c r="F36" s="157"/>
      <c r="G36" s="189"/>
      <c r="H36" s="193"/>
      <c r="I36" s="193"/>
      <c r="J36" s="193"/>
      <c r="K36" s="189"/>
      <c r="L36" s="193"/>
      <c r="M36" s="189"/>
      <c r="N36" s="1762"/>
      <c r="O36" s="184"/>
      <c r="P36" s="1114"/>
      <c r="Q36" s="1114"/>
      <c r="R36" s="1115"/>
      <c r="S36" s="38"/>
    </row>
    <row r="37" spans="1:19" ht="15" customHeight="1" x14ac:dyDescent="0.25">
      <c r="A37" s="78"/>
      <c r="B37" s="1729"/>
      <c r="C37" s="157"/>
      <c r="D37" s="205"/>
      <c r="E37" s="208" t="s">
        <v>190</v>
      </c>
      <c r="F37" s="157"/>
      <c r="G37" s="1135">
        <v>0</v>
      </c>
      <c r="H37" s="1135">
        <v>0</v>
      </c>
      <c r="I37" s="1135">
        <v>0</v>
      </c>
      <c r="J37" s="1135">
        <v>0</v>
      </c>
      <c r="K37" s="1135">
        <v>0</v>
      </c>
      <c r="L37" s="1145">
        <v>0</v>
      </c>
      <c r="M37" s="1498">
        <f>SUM(G37:L37)</f>
        <v>0</v>
      </c>
      <c r="N37" s="1763"/>
      <c r="O37" s="184"/>
      <c r="P37" s="1116"/>
      <c r="Q37" s="1116"/>
      <c r="R37" s="1117"/>
      <c r="S37" s="41"/>
    </row>
    <row r="38" spans="1:19" ht="15" customHeight="1" x14ac:dyDescent="0.25">
      <c r="A38" s="78"/>
      <c r="B38" s="1729"/>
      <c r="C38" s="157"/>
      <c r="D38" s="157"/>
      <c r="E38" s="157"/>
      <c r="F38" s="157"/>
      <c r="G38" s="190"/>
      <c r="H38" s="190"/>
      <c r="I38" s="190"/>
      <c r="J38" s="190"/>
      <c r="K38" s="190"/>
      <c r="L38" s="190"/>
      <c r="M38" s="190"/>
      <c r="N38" s="1764"/>
      <c r="O38" s="184"/>
      <c r="P38" s="1118"/>
      <c r="Q38" s="1119"/>
      <c r="R38" s="1120"/>
      <c r="S38" s="33"/>
    </row>
    <row r="39" spans="1:19" ht="15" customHeight="1" x14ac:dyDescent="0.25">
      <c r="A39" s="78"/>
      <c r="B39" s="1765"/>
      <c r="C39" s="157"/>
      <c r="D39" s="157"/>
      <c r="E39" s="208" t="s">
        <v>191</v>
      </c>
      <c r="F39" s="157"/>
      <c r="G39" s="1496">
        <f>SUM(G33+G37+G35)</f>
        <v>206888.52000000002</v>
      </c>
      <c r="H39" s="1496">
        <f t="shared" ref="H39:M39" si="3">SUM(H33+H37+H35)</f>
        <v>6526.9699999999993</v>
      </c>
      <c r="I39" s="1496">
        <f t="shared" si="3"/>
        <v>9923.510000000002</v>
      </c>
      <c r="J39" s="1496">
        <f t="shared" si="3"/>
        <v>8352.66</v>
      </c>
      <c r="K39" s="1496">
        <f t="shared" si="3"/>
        <v>14566.350000000002</v>
      </c>
      <c r="L39" s="1496">
        <f t="shared" si="3"/>
        <v>0</v>
      </c>
      <c r="M39" s="1497">
        <f t="shared" si="3"/>
        <v>246258.01</v>
      </c>
      <c r="N39" s="1760"/>
      <c r="O39" s="186"/>
      <c r="P39" s="1107"/>
      <c r="Q39" s="1107"/>
      <c r="R39" s="58"/>
      <c r="S39" s="55"/>
    </row>
    <row r="40" spans="1:19" ht="15" customHeight="1" x14ac:dyDescent="0.25">
      <c r="A40" s="78"/>
      <c r="B40" s="1765"/>
      <c r="C40" s="157"/>
      <c r="D40" s="157"/>
      <c r="E40" s="208"/>
      <c r="F40" s="157"/>
      <c r="G40" s="189"/>
      <c r="H40" s="189"/>
      <c r="I40" s="189"/>
      <c r="J40" s="189"/>
      <c r="K40" s="189"/>
      <c r="L40" s="189"/>
      <c r="M40" s="189"/>
      <c r="N40" s="1766"/>
      <c r="O40" s="180"/>
      <c r="P40" s="1117"/>
      <c r="Q40" s="1117"/>
      <c r="R40" s="1106"/>
      <c r="S40" s="39"/>
    </row>
    <row r="41" spans="1:19" ht="15" customHeight="1" x14ac:dyDescent="0.25">
      <c r="A41" s="78"/>
      <c r="B41" s="1765"/>
      <c r="C41" s="157"/>
      <c r="D41" s="157"/>
      <c r="E41" s="208" t="s">
        <v>192</v>
      </c>
      <c r="F41" s="157"/>
      <c r="G41" s="1135">
        <f>207777-344</f>
        <v>207433</v>
      </c>
      <c r="H41" s="1135">
        <v>6528</v>
      </c>
      <c r="I41" s="1135">
        <f>9889-7</f>
        <v>9882</v>
      </c>
      <c r="J41" s="1135">
        <v>8353</v>
      </c>
      <c r="K41" s="1135">
        <v>14567</v>
      </c>
      <c r="L41" s="1135">
        <v>0</v>
      </c>
      <c r="M41" s="1497">
        <f>SUM(G41:L41)</f>
        <v>246763</v>
      </c>
      <c r="N41" s="1763"/>
      <c r="O41" s="187"/>
      <c r="P41" s="1121"/>
      <c r="Q41" s="1121"/>
      <c r="R41" s="1122"/>
      <c r="S41" s="38"/>
    </row>
    <row r="42" spans="1:19" ht="15" customHeight="1" x14ac:dyDescent="0.25">
      <c r="A42" s="78"/>
      <c r="B42" s="1765"/>
      <c r="C42" s="157"/>
      <c r="D42" s="157"/>
      <c r="E42" s="208"/>
      <c r="F42" s="157"/>
      <c r="G42" s="189"/>
      <c r="H42" s="189"/>
      <c r="I42" s="189"/>
      <c r="J42" s="189"/>
      <c r="K42" s="189"/>
      <c r="L42" s="189"/>
      <c r="M42" s="189"/>
      <c r="N42" s="1766"/>
      <c r="O42" s="180"/>
      <c r="P42" s="1117"/>
      <c r="Q42" s="1117"/>
      <c r="R42" s="1106"/>
      <c r="S42" s="39"/>
    </row>
    <row r="43" spans="1:19" ht="15" customHeight="1" x14ac:dyDescent="0.25">
      <c r="A43" s="78"/>
      <c r="B43" s="1765"/>
      <c r="C43" s="157"/>
      <c r="D43" s="157"/>
      <c r="E43" s="208" t="s">
        <v>193</v>
      </c>
      <c r="F43" s="157"/>
      <c r="G43" s="1496">
        <f t="shared" ref="G43:M43" si="4">SUM(G39-G41)</f>
        <v>-544.47999999998137</v>
      </c>
      <c r="H43" s="1496">
        <f t="shared" si="4"/>
        <v>-1.0300000000006548</v>
      </c>
      <c r="I43" s="1496">
        <f t="shared" si="4"/>
        <v>41.510000000002037</v>
      </c>
      <c r="J43" s="1496">
        <f t="shared" si="4"/>
        <v>-0.34000000000014552</v>
      </c>
      <c r="K43" s="1496">
        <f t="shared" si="4"/>
        <v>-0.64999999999781721</v>
      </c>
      <c r="L43" s="1496">
        <f t="shared" si="4"/>
        <v>0</v>
      </c>
      <c r="M43" s="1497">
        <f t="shared" si="4"/>
        <v>-504.98999999999069</v>
      </c>
      <c r="N43" s="1760"/>
      <c r="O43" s="186"/>
      <c r="P43" s="1107"/>
      <c r="Q43" s="1107"/>
      <c r="R43" s="58"/>
      <c r="S43" s="55"/>
    </row>
    <row r="44" spans="1:19" ht="15" customHeight="1" x14ac:dyDescent="0.25">
      <c r="A44" s="78"/>
      <c r="B44" s="1765"/>
      <c r="C44" s="157"/>
      <c r="D44" s="157"/>
      <c r="E44" s="208"/>
      <c r="F44" s="157"/>
      <c r="G44" s="189"/>
      <c r="H44" s="189"/>
      <c r="I44" s="189"/>
      <c r="J44" s="189"/>
      <c r="K44" s="189"/>
      <c r="L44" s="189"/>
      <c r="M44" s="189"/>
      <c r="N44" s="1766"/>
      <c r="O44" s="180"/>
      <c r="P44" s="1117"/>
      <c r="Q44" s="1117"/>
      <c r="R44" s="1106"/>
      <c r="S44" s="30"/>
    </row>
    <row r="45" spans="1:19" ht="15" customHeight="1" thickBot="1" x14ac:dyDescent="0.3">
      <c r="A45" s="78"/>
      <c r="B45" s="1765"/>
      <c r="C45" s="157"/>
      <c r="D45" s="157"/>
      <c r="E45" s="208" t="s">
        <v>1338</v>
      </c>
      <c r="F45" s="157"/>
      <c r="G45" s="194">
        <f>IF(G39&lt;&gt;0,G43/G39,0)</f>
        <v>-2.6317554980816787E-3</v>
      </c>
      <c r="H45" s="194">
        <f t="shared" ref="H45:M45" si="5">IF(H39&lt;&gt;0,H43/H39,0)</f>
        <v>-1.5780676179002738E-4</v>
      </c>
      <c r="I45" s="194">
        <f t="shared" si="5"/>
        <v>4.1829957343724172E-3</v>
      </c>
      <c r="J45" s="194">
        <f t="shared" si="5"/>
        <v>-4.0705595582741969E-5</v>
      </c>
      <c r="K45" s="194">
        <f t="shared" si="5"/>
        <v>-4.4623395702960392E-5</v>
      </c>
      <c r="L45" s="194">
        <f t="shared" si="5"/>
        <v>0</v>
      </c>
      <c r="M45" s="194">
        <f t="shared" si="5"/>
        <v>-2.0506541086724069E-3</v>
      </c>
      <c r="N45" s="1767"/>
      <c r="O45" s="186"/>
      <c r="P45" s="1123"/>
      <c r="Q45" s="1123"/>
      <c r="R45" s="58"/>
      <c r="S45" s="67"/>
    </row>
    <row r="46" spans="1:19" ht="13.8" thickTop="1" x14ac:dyDescent="0.25">
      <c r="A46" s="78"/>
      <c r="B46" s="1729"/>
      <c r="C46" s="157"/>
      <c r="D46" s="157"/>
      <c r="E46" s="157"/>
      <c r="F46" s="157"/>
      <c r="G46" s="157"/>
      <c r="H46" s="189"/>
      <c r="I46" s="189"/>
      <c r="J46" s="189"/>
      <c r="K46" s="157"/>
      <c r="L46" s="189"/>
      <c r="M46" s="157"/>
      <c r="N46" s="1766"/>
      <c r="O46" s="78"/>
      <c r="P46" s="1124"/>
      <c r="Q46" s="1124"/>
      <c r="S46" s="40"/>
    </row>
    <row r="47" spans="1:19" x14ac:dyDescent="0.25">
      <c r="A47" s="78"/>
      <c r="B47" s="1729"/>
      <c r="C47" s="157"/>
      <c r="D47" s="208"/>
      <c r="E47" s="157"/>
      <c r="F47" s="157"/>
      <c r="G47" s="157"/>
      <c r="H47" s="157"/>
      <c r="I47" s="157"/>
      <c r="J47" s="157"/>
      <c r="K47" s="157"/>
      <c r="L47" s="157"/>
      <c r="M47" s="157"/>
      <c r="N47" s="1755"/>
      <c r="O47" s="78"/>
    </row>
    <row r="48" spans="1:19" x14ac:dyDescent="0.25">
      <c r="A48" s="78"/>
      <c r="B48" s="1729"/>
      <c r="C48" s="157"/>
      <c r="D48" s="208" t="s">
        <v>194</v>
      </c>
      <c r="E48" s="157" t="s">
        <v>195</v>
      </c>
      <c r="F48" s="157"/>
      <c r="G48" s="157"/>
      <c r="H48" s="157"/>
      <c r="I48" s="157"/>
      <c r="J48" s="157"/>
      <c r="K48" s="157"/>
      <c r="L48" s="157"/>
      <c r="M48" s="157"/>
      <c r="N48" s="1755"/>
      <c r="O48" s="78"/>
    </row>
    <row r="49" spans="1:15" x14ac:dyDescent="0.25">
      <c r="A49" s="78"/>
      <c r="B49" s="1765"/>
      <c r="C49" s="205"/>
      <c r="D49" s="205"/>
      <c r="E49" s="205"/>
      <c r="F49" s="205"/>
      <c r="G49" s="205"/>
      <c r="H49" s="205"/>
      <c r="I49" s="205"/>
      <c r="J49" s="205"/>
      <c r="K49" s="205"/>
      <c r="L49" s="205"/>
      <c r="M49" s="205"/>
      <c r="N49" s="1754"/>
      <c r="O49" s="78"/>
    </row>
    <row r="50" spans="1:15" x14ac:dyDescent="0.25">
      <c r="A50" s="78"/>
      <c r="B50" s="2359" t="s">
        <v>1232</v>
      </c>
      <c r="C50" s="2360"/>
      <c r="D50" s="2360"/>
      <c r="E50" s="2360"/>
      <c r="F50" s="2360"/>
      <c r="G50" s="2360"/>
      <c r="H50" s="2360"/>
      <c r="I50" s="2360"/>
      <c r="J50" s="2360"/>
      <c r="K50" s="2360"/>
      <c r="L50" s="2360"/>
      <c r="M50" s="2360"/>
      <c r="N50" s="2361"/>
      <c r="O50" s="78"/>
    </row>
    <row r="51" spans="1:15" x14ac:dyDescent="0.25">
      <c r="A51" s="78"/>
      <c r="B51" s="2359"/>
      <c r="C51" s="2360"/>
      <c r="D51" s="2360"/>
      <c r="E51" s="2360"/>
      <c r="F51" s="2360"/>
      <c r="G51" s="2360"/>
      <c r="H51" s="2360"/>
      <c r="I51" s="2360"/>
      <c r="J51" s="2360"/>
      <c r="K51" s="2360"/>
      <c r="L51" s="2360"/>
      <c r="M51" s="2360"/>
      <c r="N51" s="2361"/>
      <c r="O51" s="78"/>
    </row>
    <row r="52" spans="1:15" x14ac:dyDescent="0.25">
      <c r="A52" s="78"/>
      <c r="B52" s="1765"/>
      <c r="C52" s="205"/>
      <c r="D52" s="2362"/>
      <c r="E52" s="2363"/>
      <c r="F52" s="2363"/>
      <c r="G52" s="2363"/>
      <c r="H52" s="2363"/>
      <c r="I52" s="2363"/>
      <c r="J52" s="2363"/>
      <c r="K52" s="2363"/>
      <c r="L52" s="2363"/>
      <c r="M52" s="2364"/>
      <c r="N52" s="1754"/>
      <c r="O52" s="78"/>
    </row>
    <row r="53" spans="1:15" x14ac:dyDescent="0.25">
      <c r="A53" s="78"/>
      <c r="B53" s="1765"/>
      <c r="C53" s="205"/>
      <c r="D53" s="2365"/>
      <c r="E53" s="2366"/>
      <c r="F53" s="2366"/>
      <c r="G53" s="2366"/>
      <c r="H53" s="2366"/>
      <c r="I53" s="2366"/>
      <c r="J53" s="2366"/>
      <c r="K53" s="2366"/>
      <c r="L53" s="2366"/>
      <c r="M53" s="2367"/>
      <c r="N53" s="1754"/>
      <c r="O53" s="78"/>
    </row>
    <row r="54" spans="1:15" x14ac:dyDescent="0.25">
      <c r="A54" s="78"/>
      <c r="B54" s="1765"/>
      <c r="C54" s="205"/>
      <c r="D54" s="2365"/>
      <c r="E54" s="2366"/>
      <c r="F54" s="2366"/>
      <c r="G54" s="2366"/>
      <c r="H54" s="2366"/>
      <c r="I54" s="2366"/>
      <c r="J54" s="2366"/>
      <c r="K54" s="2366"/>
      <c r="L54" s="2366"/>
      <c r="M54" s="2367"/>
      <c r="N54" s="1754"/>
      <c r="O54" s="78"/>
    </row>
    <row r="55" spans="1:15" x14ac:dyDescent="0.25">
      <c r="A55" s="78"/>
      <c r="B55" s="1765"/>
      <c r="C55" s="205"/>
      <c r="D55" s="2365"/>
      <c r="E55" s="2366"/>
      <c r="F55" s="2366"/>
      <c r="G55" s="2366"/>
      <c r="H55" s="2366"/>
      <c r="I55" s="2366"/>
      <c r="J55" s="2366"/>
      <c r="K55" s="2366"/>
      <c r="L55" s="2366"/>
      <c r="M55" s="2367"/>
      <c r="N55" s="1754"/>
      <c r="O55" s="78"/>
    </row>
    <row r="56" spans="1:15" x14ac:dyDescent="0.25">
      <c r="A56" s="78"/>
      <c r="B56" s="1765"/>
      <c r="C56" s="205"/>
      <c r="D56" s="2365"/>
      <c r="E56" s="2366"/>
      <c r="F56" s="2366"/>
      <c r="G56" s="2366"/>
      <c r="H56" s="2366"/>
      <c r="I56" s="2366"/>
      <c r="J56" s="2366"/>
      <c r="K56" s="2366"/>
      <c r="L56" s="2366"/>
      <c r="M56" s="2367"/>
      <c r="N56" s="1754"/>
      <c r="O56" s="78"/>
    </row>
    <row r="57" spans="1:15" x14ac:dyDescent="0.25">
      <c r="A57" s="78"/>
      <c r="B57" s="1765"/>
      <c r="C57" s="205"/>
      <c r="D57" s="2365"/>
      <c r="E57" s="2366"/>
      <c r="F57" s="2366"/>
      <c r="G57" s="2366"/>
      <c r="H57" s="2366"/>
      <c r="I57" s="2366"/>
      <c r="J57" s="2366"/>
      <c r="K57" s="2366"/>
      <c r="L57" s="2366"/>
      <c r="M57" s="2367"/>
      <c r="N57" s="1754"/>
      <c r="O57" s="78"/>
    </row>
    <row r="58" spans="1:15" x14ac:dyDescent="0.25">
      <c r="A58" s="78"/>
      <c r="B58" s="1765"/>
      <c r="C58" s="205"/>
      <c r="D58" s="2365"/>
      <c r="E58" s="2366"/>
      <c r="F58" s="2366"/>
      <c r="G58" s="2366"/>
      <c r="H58" s="2366"/>
      <c r="I58" s="2366"/>
      <c r="J58" s="2366"/>
      <c r="K58" s="2366"/>
      <c r="L58" s="2366"/>
      <c r="M58" s="2367"/>
      <c r="N58" s="1754"/>
      <c r="O58" s="78"/>
    </row>
    <row r="59" spans="1:15" x14ac:dyDescent="0.25">
      <c r="A59" s="78"/>
      <c r="B59" s="1765"/>
      <c r="C59" s="205"/>
      <c r="D59" s="2365"/>
      <c r="E59" s="2366"/>
      <c r="F59" s="2366"/>
      <c r="G59" s="2366"/>
      <c r="H59" s="2366"/>
      <c r="I59" s="2366"/>
      <c r="J59" s="2366"/>
      <c r="K59" s="2366"/>
      <c r="L59" s="2366"/>
      <c r="M59" s="2367"/>
      <c r="N59" s="1754"/>
      <c r="O59" s="78"/>
    </row>
    <row r="60" spans="1:15" x14ac:dyDescent="0.25">
      <c r="A60" s="78"/>
      <c r="B60" s="1765"/>
      <c r="C60" s="205"/>
      <c r="D60" s="2365"/>
      <c r="E60" s="2366"/>
      <c r="F60" s="2366"/>
      <c r="G60" s="2366"/>
      <c r="H60" s="2366"/>
      <c r="I60" s="2366"/>
      <c r="J60" s="2366"/>
      <c r="K60" s="2366"/>
      <c r="L60" s="2366"/>
      <c r="M60" s="2367"/>
      <c r="N60" s="1754"/>
      <c r="O60" s="78"/>
    </row>
    <row r="61" spans="1:15" x14ac:dyDescent="0.25">
      <c r="A61" s="78"/>
      <c r="B61" s="1765"/>
      <c r="C61" s="205"/>
      <c r="D61" s="2365"/>
      <c r="E61" s="2366"/>
      <c r="F61" s="2366"/>
      <c r="G61" s="2366"/>
      <c r="H61" s="2366"/>
      <c r="I61" s="2366"/>
      <c r="J61" s="2366"/>
      <c r="K61" s="2366"/>
      <c r="L61" s="2366"/>
      <c r="M61" s="2367"/>
      <c r="N61" s="1754"/>
      <c r="O61" s="78"/>
    </row>
    <row r="62" spans="1:15" x14ac:dyDescent="0.25">
      <c r="A62" s="78"/>
      <c r="B62" s="1765"/>
      <c r="C62" s="205"/>
      <c r="D62" s="2365"/>
      <c r="E62" s="2366"/>
      <c r="F62" s="2366"/>
      <c r="G62" s="2366"/>
      <c r="H62" s="2366"/>
      <c r="I62" s="2366"/>
      <c r="J62" s="2366"/>
      <c r="K62" s="2366"/>
      <c r="L62" s="2366"/>
      <c r="M62" s="2367"/>
      <c r="N62" s="1754"/>
      <c r="O62" s="78"/>
    </row>
    <row r="63" spans="1:15" x14ac:dyDescent="0.25">
      <c r="A63" s="78"/>
      <c r="B63" s="1765"/>
      <c r="C63" s="205"/>
      <c r="D63" s="2365"/>
      <c r="E63" s="2366"/>
      <c r="F63" s="2366"/>
      <c r="G63" s="2366"/>
      <c r="H63" s="2366"/>
      <c r="I63" s="2366"/>
      <c r="J63" s="2366"/>
      <c r="K63" s="2366"/>
      <c r="L63" s="2366"/>
      <c r="M63" s="2367"/>
      <c r="N63" s="1754"/>
      <c r="O63" s="78"/>
    </row>
    <row r="64" spans="1:15" x14ac:dyDescent="0.25">
      <c r="A64" s="78"/>
      <c r="B64" s="1765"/>
      <c r="C64" s="205"/>
      <c r="D64" s="2368"/>
      <c r="E64" s="2369"/>
      <c r="F64" s="2369"/>
      <c r="G64" s="2369"/>
      <c r="H64" s="2369"/>
      <c r="I64" s="2369"/>
      <c r="J64" s="2369"/>
      <c r="K64" s="2369"/>
      <c r="L64" s="2369"/>
      <c r="M64" s="2370"/>
      <c r="N64" s="1754"/>
      <c r="O64" s="78"/>
    </row>
    <row r="65" spans="1:15" x14ac:dyDescent="0.25">
      <c r="A65" s="78"/>
      <c r="B65" s="1765"/>
      <c r="C65" s="205"/>
      <c r="D65" s="205"/>
      <c r="E65" s="205"/>
      <c r="F65" s="205"/>
      <c r="G65" s="205"/>
      <c r="H65" s="205"/>
      <c r="I65" s="205"/>
      <c r="J65" s="205"/>
      <c r="K65" s="205"/>
      <c r="L65" s="205"/>
      <c r="M65" s="205"/>
      <c r="N65" s="1754"/>
      <c r="O65" s="78"/>
    </row>
    <row r="66" spans="1:15" x14ac:dyDescent="0.25">
      <c r="A66" s="78"/>
      <c r="B66" s="1768"/>
      <c r="C66" s="1279"/>
      <c r="D66" s="1279"/>
      <c r="E66" s="1279"/>
      <c r="F66" s="1279"/>
      <c r="G66" s="1279"/>
      <c r="H66" s="1279"/>
      <c r="I66" s="1279"/>
      <c r="J66" s="1279"/>
      <c r="K66" s="1279"/>
      <c r="L66" s="1279"/>
      <c r="M66" s="1279"/>
      <c r="N66" s="1769"/>
      <c r="O66" s="78"/>
    </row>
    <row r="67" spans="1:15" x14ac:dyDescent="0.25">
      <c r="A67" s="78"/>
      <c r="B67" s="78"/>
      <c r="C67" s="78"/>
      <c r="D67" s="78"/>
      <c r="E67" s="78"/>
      <c r="F67" s="78"/>
      <c r="G67" s="78"/>
      <c r="H67" s="78"/>
      <c r="I67" s="78"/>
      <c r="J67" s="78"/>
      <c r="K67" s="78"/>
      <c r="L67" s="78"/>
      <c r="M67" s="78"/>
      <c r="N67" s="78"/>
      <c r="O67" s="78"/>
    </row>
    <row r="68" spans="1:15" x14ac:dyDescent="0.25">
      <c r="A68" s="78"/>
      <c r="B68" s="78"/>
      <c r="C68" s="78"/>
      <c r="D68" s="78"/>
      <c r="E68" s="78"/>
      <c r="F68" s="78"/>
      <c r="G68" s="78"/>
      <c r="H68" s="78"/>
      <c r="I68" s="78"/>
      <c r="J68" s="78"/>
      <c r="K68" s="78"/>
      <c r="L68" s="78"/>
      <c r="M68" s="78"/>
      <c r="N68" s="78"/>
      <c r="O68" s="78"/>
    </row>
    <row r="69" spans="1:15" x14ac:dyDescent="0.25">
      <c r="A69" s="78"/>
      <c r="B69" s="78"/>
      <c r="C69" s="78"/>
      <c r="D69" s="78"/>
      <c r="E69" s="78"/>
      <c r="F69" s="78"/>
      <c r="G69" s="78"/>
      <c r="H69" s="78"/>
      <c r="I69" s="78"/>
      <c r="J69" s="78"/>
      <c r="K69" s="78"/>
      <c r="L69" s="78"/>
      <c r="M69" s="78"/>
      <c r="N69" s="78"/>
      <c r="O69" s="78"/>
    </row>
    <row r="70" spans="1:15" s="57" customFormat="1" x14ac:dyDescent="0.25">
      <c r="A70" s="78"/>
      <c r="B70" s="78"/>
      <c r="C70" s="78"/>
      <c r="D70" s="78"/>
      <c r="E70" s="78"/>
      <c r="F70" s="78"/>
      <c r="G70" s="78"/>
      <c r="H70" s="78"/>
      <c r="I70" s="78"/>
      <c r="J70" s="78"/>
      <c r="K70" s="78"/>
      <c r="L70" s="78"/>
      <c r="M70" s="78"/>
      <c r="N70" s="78"/>
      <c r="O70" s="78"/>
    </row>
    <row r="71" spans="1:15" s="57" customFormat="1" x14ac:dyDescent="0.25">
      <c r="A71" s="78"/>
      <c r="B71" s="78"/>
      <c r="C71" s="78"/>
      <c r="D71" s="78"/>
      <c r="E71" s="78"/>
      <c r="F71" s="78"/>
      <c r="G71" s="78"/>
      <c r="H71" s="78"/>
      <c r="I71" s="78"/>
      <c r="J71" s="78"/>
      <c r="K71" s="78"/>
      <c r="L71" s="78"/>
      <c r="M71" s="78"/>
      <c r="N71" s="78"/>
      <c r="O71" s="78"/>
    </row>
    <row r="72" spans="1:15" s="57" customFormat="1" x14ac:dyDescent="0.25"/>
    <row r="73" spans="1:15" s="57" customFormat="1" x14ac:dyDescent="0.25"/>
    <row r="74" spans="1:15" s="57" customFormat="1" x14ac:dyDescent="0.25"/>
    <row r="75" spans="1:15" s="57" customFormat="1" x14ac:dyDescent="0.25"/>
    <row r="76" spans="1:15" s="57" customFormat="1" x14ac:dyDescent="0.25"/>
    <row r="77" spans="1:15" s="57" customFormat="1" x14ac:dyDescent="0.25"/>
    <row r="78" spans="1:15" s="57" customFormat="1" x14ac:dyDescent="0.25"/>
    <row r="79" spans="1:15" s="57" customFormat="1" x14ac:dyDescent="0.25"/>
    <row r="80" spans="1:15" s="57" customFormat="1" x14ac:dyDescent="0.25"/>
    <row r="81" s="57" customFormat="1" x14ac:dyDescent="0.25"/>
    <row r="82" s="57" customFormat="1" x14ac:dyDescent="0.25"/>
    <row r="83" s="57" customFormat="1" x14ac:dyDescent="0.25"/>
    <row r="84" s="57" customFormat="1" x14ac:dyDescent="0.25"/>
    <row r="85" s="57" customFormat="1" x14ac:dyDescent="0.25"/>
    <row r="86" s="57" customFormat="1" x14ac:dyDescent="0.25"/>
    <row r="87" s="57" customFormat="1" x14ac:dyDescent="0.25"/>
    <row r="88" s="57" customFormat="1" x14ac:dyDescent="0.25"/>
    <row r="89" s="57" customFormat="1" x14ac:dyDescent="0.25"/>
    <row r="90" s="57" customFormat="1" x14ac:dyDescent="0.25"/>
    <row r="91" s="57" customFormat="1" x14ac:dyDescent="0.25"/>
    <row r="92" s="57" customFormat="1" x14ac:dyDescent="0.25"/>
    <row r="93" s="57" customFormat="1" x14ac:dyDescent="0.25"/>
    <row r="94" s="57" customFormat="1" x14ac:dyDescent="0.25"/>
    <row r="95" s="57" customFormat="1" x14ac:dyDescent="0.25"/>
    <row r="96" s="57" customFormat="1" x14ac:dyDescent="0.25"/>
    <row r="97" s="57" customFormat="1" x14ac:dyDescent="0.25"/>
    <row r="98" s="57" customFormat="1" x14ac:dyDescent="0.25"/>
    <row r="99" s="57" customFormat="1" x14ac:dyDescent="0.25"/>
    <row r="100" s="57" customFormat="1" x14ac:dyDescent="0.25"/>
    <row r="101" s="57" customFormat="1" x14ac:dyDescent="0.25"/>
    <row r="102" s="57" customFormat="1" x14ac:dyDescent="0.25"/>
    <row r="103" s="57" customFormat="1" x14ac:dyDescent="0.25"/>
    <row r="104" s="57" customFormat="1" x14ac:dyDescent="0.25"/>
    <row r="105" s="57" customFormat="1" x14ac:dyDescent="0.25"/>
    <row r="106" s="57" customFormat="1" x14ac:dyDescent="0.25"/>
    <row r="107" s="57" customFormat="1" x14ac:dyDescent="0.25"/>
    <row r="108" s="57" customFormat="1" x14ac:dyDescent="0.25"/>
    <row r="109" s="57" customFormat="1" x14ac:dyDescent="0.25"/>
    <row r="110" s="57" customFormat="1" x14ac:dyDescent="0.25"/>
    <row r="111" s="57" customFormat="1" x14ac:dyDescent="0.25"/>
    <row r="112" s="57" customFormat="1" x14ac:dyDescent="0.25"/>
    <row r="113" s="57" customFormat="1" x14ac:dyDescent="0.25"/>
    <row r="114" s="57" customFormat="1" x14ac:dyDescent="0.25"/>
    <row r="115" s="57" customFormat="1" x14ac:dyDescent="0.25"/>
    <row r="116" s="57" customFormat="1" x14ac:dyDescent="0.25"/>
    <row r="117" s="57" customFormat="1" x14ac:dyDescent="0.25"/>
    <row r="118" s="57" customFormat="1" x14ac:dyDescent="0.25"/>
    <row r="119" s="57" customFormat="1" x14ac:dyDescent="0.25"/>
    <row r="120" s="57" customFormat="1" x14ac:dyDescent="0.25"/>
    <row r="121" s="57" customFormat="1" x14ac:dyDescent="0.25"/>
    <row r="122" s="57" customFormat="1" x14ac:dyDescent="0.25"/>
    <row r="123" s="57" customFormat="1" x14ac:dyDescent="0.25"/>
    <row r="124" s="57" customFormat="1" x14ac:dyDescent="0.25"/>
    <row r="125" s="57" customFormat="1" x14ac:dyDescent="0.25"/>
    <row r="126" s="57" customFormat="1" x14ac:dyDescent="0.25"/>
    <row r="127" s="57" customFormat="1" x14ac:dyDescent="0.25"/>
    <row r="128" s="57" customFormat="1" x14ac:dyDescent="0.25"/>
    <row r="129" s="57" customFormat="1" x14ac:dyDescent="0.25"/>
    <row r="130" s="57" customFormat="1" x14ac:dyDescent="0.25"/>
    <row r="131" s="57" customFormat="1" x14ac:dyDescent="0.25"/>
    <row r="132" s="57" customFormat="1" x14ac:dyDescent="0.25"/>
    <row r="133" s="57" customFormat="1" x14ac:dyDescent="0.25"/>
    <row r="134" s="57" customFormat="1" x14ac:dyDescent="0.25"/>
    <row r="135" s="57" customFormat="1" x14ac:dyDescent="0.25"/>
    <row r="136" s="57" customFormat="1" x14ac:dyDescent="0.25"/>
    <row r="137" s="57" customFormat="1" x14ac:dyDescent="0.25"/>
    <row r="138" s="57" customFormat="1" x14ac:dyDescent="0.25"/>
    <row r="139" s="57" customFormat="1" x14ac:dyDescent="0.25"/>
    <row r="140" s="57" customFormat="1" x14ac:dyDescent="0.25"/>
    <row r="141" s="57" customFormat="1" x14ac:dyDescent="0.25"/>
    <row r="142" s="57" customFormat="1" x14ac:dyDescent="0.25"/>
    <row r="143" s="57" customFormat="1" x14ac:dyDescent="0.25"/>
    <row r="144" s="57" customFormat="1" x14ac:dyDescent="0.25"/>
    <row r="145" s="57" customFormat="1" x14ac:dyDescent="0.25"/>
    <row r="146" s="57" customFormat="1" x14ac:dyDescent="0.25"/>
    <row r="147" s="57" customFormat="1" x14ac:dyDescent="0.25"/>
    <row r="148" s="57" customFormat="1" x14ac:dyDescent="0.25"/>
    <row r="149" s="57" customFormat="1" x14ac:dyDescent="0.25"/>
    <row r="150" s="57" customFormat="1" x14ac:dyDescent="0.25"/>
    <row r="151" s="57" customFormat="1" x14ac:dyDescent="0.25"/>
    <row r="152" s="57" customFormat="1" x14ac:dyDescent="0.25"/>
    <row r="153" s="57" customFormat="1" x14ac:dyDescent="0.25"/>
    <row r="154" s="57" customFormat="1" x14ac:dyDescent="0.25"/>
    <row r="155" s="57" customFormat="1" x14ac:dyDescent="0.25"/>
    <row r="156" s="57" customFormat="1" x14ac:dyDescent="0.25"/>
    <row r="157" s="57" customFormat="1" x14ac:dyDescent="0.25"/>
    <row r="158" s="57" customFormat="1" x14ac:dyDescent="0.25"/>
    <row r="159" s="57" customFormat="1" x14ac:dyDescent="0.25"/>
    <row r="160" s="57" customFormat="1" x14ac:dyDescent="0.25"/>
    <row r="161" s="57" customFormat="1" x14ac:dyDescent="0.25"/>
    <row r="162" s="57" customFormat="1" x14ac:dyDescent="0.25"/>
    <row r="163" s="57" customFormat="1" x14ac:dyDescent="0.25"/>
    <row r="164" s="57" customFormat="1" x14ac:dyDescent="0.25"/>
    <row r="165" s="57" customFormat="1" x14ac:dyDescent="0.25"/>
    <row r="166" s="57" customFormat="1" x14ac:dyDescent="0.25"/>
    <row r="167" s="57" customFormat="1" x14ac:dyDescent="0.25"/>
    <row r="168" s="57" customFormat="1" x14ac:dyDescent="0.25"/>
    <row r="169" s="57" customFormat="1" x14ac:dyDescent="0.25"/>
    <row r="170" s="57" customFormat="1" x14ac:dyDescent="0.25"/>
    <row r="171" s="57" customFormat="1" x14ac:dyDescent="0.25"/>
    <row r="172" s="57" customFormat="1" x14ac:dyDescent="0.25"/>
    <row r="173" s="57" customFormat="1" x14ac:dyDescent="0.25"/>
    <row r="174" s="57" customFormat="1" x14ac:dyDescent="0.25"/>
    <row r="175" s="57" customFormat="1" x14ac:dyDescent="0.25"/>
    <row r="176" s="57" customFormat="1" x14ac:dyDescent="0.25"/>
    <row r="177" s="57" customFormat="1" x14ac:dyDescent="0.25"/>
    <row r="178" s="57" customFormat="1" x14ac:dyDescent="0.25"/>
    <row r="179" s="57" customFormat="1" x14ac:dyDescent="0.25"/>
    <row r="180" s="57" customFormat="1" x14ac:dyDescent="0.25"/>
    <row r="181" s="57" customFormat="1" x14ac:dyDescent="0.25"/>
    <row r="182" s="57" customFormat="1" x14ac:dyDescent="0.25"/>
    <row r="183" s="57" customFormat="1" x14ac:dyDescent="0.25"/>
    <row r="184" s="57" customFormat="1" x14ac:dyDescent="0.25"/>
    <row r="185" s="57" customFormat="1" x14ac:dyDescent="0.25"/>
    <row r="186" s="57" customFormat="1" x14ac:dyDescent="0.25"/>
    <row r="187" s="57" customFormat="1" x14ac:dyDescent="0.25"/>
    <row r="188" s="57" customFormat="1" x14ac:dyDescent="0.25"/>
    <row r="189" s="57" customFormat="1" x14ac:dyDescent="0.25"/>
    <row r="190" s="57" customFormat="1" x14ac:dyDescent="0.25"/>
    <row r="191" s="57" customFormat="1" x14ac:dyDescent="0.25"/>
    <row r="192" s="57" customFormat="1" x14ac:dyDescent="0.25"/>
    <row r="193" s="57" customFormat="1" x14ac:dyDescent="0.25"/>
    <row r="194" s="57" customFormat="1" x14ac:dyDescent="0.25"/>
    <row r="195" s="57" customFormat="1" x14ac:dyDescent="0.25"/>
    <row r="196" s="57" customFormat="1" x14ac:dyDescent="0.25"/>
    <row r="197" s="57" customFormat="1" x14ac:dyDescent="0.25"/>
    <row r="198" s="57" customFormat="1" x14ac:dyDescent="0.25"/>
    <row r="199" s="57" customFormat="1" x14ac:dyDescent="0.25"/>
    <row r="200" s="57" customFormat="1" x14ac:dyDescent="0.25"/>
    <row r="201" s="57" customFormat="1" x14ac:dyDescent="0.25"/>
    <row r="202" s="57" customFormat="1" x14ac:dyDescent="0.25"/>
    <row r="203" s="57" customFormat="1" x14ac:dyDescent="0.25"/>
    <row r="204" s="57" customFormat="1" x14ac:dyDescent="0.25"/>
    <row r="205" s="57" customFormat="1" x14ac:dyDescent="0.25"/>
    <row r="206" s="57" customFormat="1" x14ac:dyDescent="0.25"/>
    <row r="207" s="57" customFormat="1" x14ac:dyDescent="0.25"/>
    <row r="208" s="57" customFormat="1" x14ac:dyDescent="0.25"/>
    <row r="209" s="57" customFormat="1" x14ac:dyDescent="0.25"/>
    <row r="210" s="57" customFormat="1" x14ac:dyDescent="0.25"/>
    <row r="211" s="57" customFormat="1" x14ac:dyDescent="0.25"/>
    <row r="212" s="57" customFormat="1" x14ac:dyDescent="0.25"/>
    <row r="213" s="57" customFormat="1" x14ac:dyDescent="0.25"/>
    <row r="214" s="57" customFormat="1" x14ac:dyDescent="0.25"/>
    <row r="215" s="57" customFormat="1" x14ac:dyDescent="0.25"/>
    <row r="216" s="57" customFormat="1" x14ac:dyDescent="0.25"/>
    <row r="217" s="57" customFormat="1" x14ac:dyDescent="0.25"/>
    <row r="218" s="57" customFormat="1" x14ac:dyDescent="0.25"/>
    <row r="219" s="57" customFormat="1" x14ac:dyDescent="0.25"/>
    <row r="220" s="57" customFormat="1" x14ac:dyDescent="0.25"/>
    <row r="221" s="57" customFormat="1" x14ac:dyDescent="0.25"/>
    <row r="222" s="57" customFormat="1" x14ac:dyDescent="0.25"/>
    <row r="223" s="57" customFormat="1" x14ac:dyDescent="0.25"/>
    <row r="224" s="57" customFormat="1" x14ac:dyDescent="0.25"/>
    <row r="225" s="57" customFormat="1" x14ac:dyDescent="0.25"/>
    <row r="226" s="57" customFormat="1" x14ac:dyDescent="0.25"/>
    <row r="227" s="57" customFormat="1" x14ac:dyDescent="0.25"/>
    <row r="228" s="57" customFormat="1" x14ac:dyDescent="0.25"/>
    <row r="229" s="57" customFormat="1" x14ac:dyDescent="0.25"/>
    <row r="230" s="57" customFormat="1" x14ac:dyDescent="0.25"/>
    <row r="231" s="57" customFormat="1" x14ac:dyDescent="0.25"/>
    <row r="232" s="57" customFormat="1" x14ac:dyDescent="0.25"/>
    <row r="233" s="57" customFormat="1" x14ac:dyDescent="0.25"/>
    <row r="234" s="57" customFormat="1" x14ac:dyDescent="0.25"/>
    <row r="235" s="57" customFormat="1" x14ac:dyDescent="0.25"/>
    <row r="236" s="57" customFormat="1" x14ac:dyDescent="0.25"/>
    <row r="237" s="57" customFormat="1" x14ac:dyDescent="0.25"/>
    <row r="238" s="57" customFormat="1" x14ac:dyDescent="0.25"/>
    <row r="239" s="57" customFormat="1" x14ac:dyDescent="0.25"/>
    <row r="240" s="57" customFormat="1" x14ac:dyDescent="0.25"/>
    <row r="241" s="57" customFormat="1" x14ac:dyDescent="0.25"/>
    <row r="242" s="57" customFormat="1" x14ac:dyDescent="0.25"/>
    <row r="243" s="57" customFormat="1" x14ac:dyDescent="0.25"/>
    <row r="244" s="57" customFormat="1" x14ac:dyDescent="0.25"/>
    <row r="245" s="57" customFormat="1" x14ac:dyDescent="0.25"/>
    <row r="246" s="57" customFormat="1" x14ac:dyDescent="0.25"/>
    <row r="247" s="57" customFormat="1" x14ac:dyDescent="0.25"/>
  </sheetData>
  <sheetProtection password="E593" sheet="1" objects="1" scenarios="1"/>
  <customSheetViews>
    <customSheetView guid="{B63065A1-7838-417A-8679-08A8A2B79CD8}" scale="85" showPageBreaks="1" showGridLines="0" fitToPage="1" printArea="1">
      <selection activeCell="I3" sqref="I3"/>
      <pageMargins left="0" right="0" top="0.5" bottom="0" header="0" footer="0"/>
      <printOptions horizontalCentered="1"/>
      <pageSetup scale="78" orientation="landscape" blackAndWhite="1" r:id="rId1"/>
      <headerFooter alignWithMargins="0"/>
    </customSheetView>
  </customSheetViews>
  <mergeCells count="10">
    <mergeCell ref="D7:M7"/>
    <mergeCell ref="B50:N51"/>
    <mergeCell ref="D52:M64"/>
    <mergeCell ref="L15:L16"/>
    <mergeCell ref="L11:M11"/>
    <mergeCell ref="G15:G16"/>
    <mergeCell ref="H15:H16"/>
    <mergeCell ref="I15:I16"/>
    <mergeCell ref="J15:J16"/>
    <mergeCell ref="K15:K16"/>
  </mergeCells>
  <dataValidations count="1">
    <dataValidation type="whole" allowBlank="1" showInputMessage="1" showErrorMessage="1" errorTitle="Warning!" error="This cell must remain unchanged!" promptTitle="Warning!" prompt="Do not Change this cell!" sqref="CU2">
      <formula1>1</formula1>
      <formula2>2</formula2>
    </dataValidation>
  </dataValidations>
  <printOptions horizontalCentered="1"/>
  <pageMargins left="0" right="0" top="0.5" bottom="0" header="0" footer="0"/>
  <pageSetup scale="62"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5473" r:id="rId5" name="Button 1">
              <controlPr defaultSize="0" print="0" autoFill="0" autoPict="0" macro="[0]!BackMain">
                <anchor moveWithCells="1" sizeWithCells="1">
                  <from>
                    <xdr:col>1</xdr:col>
                    <xdr:colOff>0</xdr:colOff>
                    <xdr:row>0</xdr:row>
                    <xdr:rowOff>106680</xdr:rowOff>
                  </from>
                  <to>
                    <xdr:col>3</xdr:col>
                    <xdr:colOff>251460</xdr:colOff>
                    <xdr:row>1</xdr:row>
                    <xdr:rowOff>160020</xdr:rowOff>
                  </to>
                </anchor>
              </controlPr>
            </control>
          </mc:Choice>
        </mc:AlternateContent>
        <mc:AlternateContent xmlns:mc="http://schemas.openxmlformats.org/markup-compatibility/2006">
          <mc:Choice Requires="x14">
            <control shapeId="105474" r:id="rId6" name="Button 2">
              <controlPr defaultSize="0" print="0" autoFill="0" autoPict="0" macro="[0]!BackMain">
                <anchor moveWithCells="1" sizeWithCells="1">
                  <from>
                    <xdr:col>12</xdr:col>
                    <xdr:colOff>960120</xdr:colOff>
                    <xdr:row>66</xdr:row>
                    <xdr:rowOff>137160</xdr:rowOff>
                  </from>
                  <to>
                    <xdr:col>14</xdr:col>
                    <xdr:colOff>0</xdr:colOff>
                    <xdr:row>69</xdr:row>
                    <xdr:rowOff>137160</xdr:rowOff>
                  </to>
                </anchor>
              </controlPr>
            </control>
          </mc:Choice>
        </mc:AlternateContent>
        <mc:AlternateContent xmlns:mc="http://schemas.openxmlformats.org/markup-compatibility/2006">
          <mc:Choice Requires="x14">
            <control shapeId="105475" r:id="rId7" name="Button 3">
              <controlPr defaultSize="0" print="0" autoFill="0" autoPict="0" macro="[0]!PrintAttach2B">
                <anchor moveWithCells="1" sizeWithCells="1">
                  <from>
                    <xdr:col>12</xdr:col>
                    <xdr:colOff>281940</xdr:colOff>
                    <xdr:row>0</xdr:row>
                    <xdr:rowOff>114300</xdr:rowOff>
                  </from>
                  <to>
                    <xdr:col>14</xdr:col>
                    <xdr:colOff>7620</xdr:colOff>
                    <xdr:row>1</xdr:row>
                    <xdr:rowOff>121920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pageSetUpPr fitToPage="1"/>
  </sheetPr>
  <dimension ref="A1:S59"/>
  <sheetViews>
    <sheetView showGridLines="0" topLeftCell="A49" zoomScaleNormal="100" workbookViewId="0">
      <selection activeCell="K56" sqref="K56"/>
    </sheetView>
  </sheetViews>
  <sheetFormatPr defaultColWidth="9.109375" defaultRowHeight="13.8" x14ac:dyDescent="0.25"/>
  <cols>
    <col min="1" max="1" width="4.5546875" style="16" customWidth="1"/>
    <col min="2" max="2" width="5.44140625" style="16" customWidth="1"/>
    <col min="3" max="3" width="15.109375" style="43" bestFit="1" customWidth="1"/>
    <col min="4" max="5" width="11.33203125" style="43" bestFit="1" customWidth="1"/>
    <col min="6" max="7" width="13.33203125" style="43" customWidth="1"/>
    <col min="8" max="8" width="5" style="43" customWidth="1"/>
    <col min="9" max="9" width="15.109375" style="43" bestFit="1" customWidth="1"/>
    <col min="10" max="11" width="11.33203125" style="43" bestFit="1" customWidth="1"/>
    <col min="12" max="12" width="13.109375" style="43" customWidth="1"/>
    <col min="13" max="13" width="14" style="43" bestFit="1" customWidth="1"/>
    <col min="14" max="14" width="5.5546875" style="43" customWidth="1"/>
    <col min="15" max="15" width="5.44140625" style="16" customWidth="1"/>
    <col min="16" max="66" width="9.109375" style="16" customWidth="1"/>
    <col min="67" max="16384" width="9.109375" style="16"/>
  </cols>
  <sheetData>
    <row r="1" spans="1:15" ht="16.5" customHeight="1" x14ac:dyDescent="0.25">
      <c r="A1" s="906"/>
      <c r="B1" s="1665"/>
      <c r="C1" s="2058"/>
      <c r="D1" s="2373" t="str">
        <f>Utility</f>
        <v>Cleveland Water Utility</v>
      </c>
      <c r="E1" s="2373"/>
      <c r="F1" s="2373"/>
      <c r="G1" s="2373"/>
      <c r="H1" s="2373"/>
      <c r="I1" s="2373"/>
      <c r="J1" s="2373"/>
      <c r="K1" s="2373"/>
      <c r="L1" s="2373"/>
      <c r="M1" s="1770"/>
      <c r="N1" s="2058"/>
      <c r="O1" s="906"/>
    </row>
    <row r="2" spans="1:15" ht="19.95" customHeight="1" x14ac:dyDescent="0.25">
      <c r="A2" s="906"/>
      <c r="B2" s="2052" t="str">
        <f>TestYear &amp; " Test Year"</f>
        <v>2023 Test Year</v>
      </c>
      <c r="C2" s="1770"/>
      <c r="D2" s="2060"/>
      <c r="E2" s="2060"/>
      <c r="F2" s="2060"/>
      <c r="G2" s="2060"/>
      <c r="H2" s="2061" t="s">
        <v>196</v>
      </c>
      <c r="I2" s="2060"/>
      <c r="J2" s="2060"/>
      <c r="K2" s="2060"/>
      <c r="L2" s="2060"/>
      <c r="M2" s="2060"/>
      <c r="N2" s="2059" t="s">
        <v>953</v>
      </c>
      <c r="O2" s="906"/>
    </row>
    <row r="3" spans="1:15" x14ac:dyDescent="0.25">
      <c r="A3" s="906"/>
      <c r="B3" s="909"/>
      <c r="C3" s="1639"/>
      <c r="D3" s="1639"/>
      <c r="E3" s="1639"/>
      <c r="F3" s="1639"/>
      <c r="G3" s="1639"/>
      <c r="H3" s="1639"/>
      <c r="I3" s="1639"/>
      <c r="J3" s="1639"/>
      <c r="K3" s="1639"/>
      <c r="L3" s="1639"/>
      <c r="M3" s="1639"/>
      <c r="N3" s="1639"/>
      <c r="O3" s="906"/>
    </row>
    <row r="4" spans="1:15" s="15" customFormat="1" ht="13.2" x14ac:dyDescent="0.25">
      <c r="A4" s="299"/>
      <c r="B4" s="348"/>
      <c r="C4" s="2374" t="s">
        <v>9</v>
      </c>
      <c r="D4" s="2375"/>
      <c r="E4" s="2375"/>
      <c r="F4" s="2375"/>
      <c r="G4" s="2375"/>
      <c r="H4" s="904"/>
      <c r="I4" s="2374" t="s">
        <v>171</v>
      </c>
      <c r="J4" s="2375"/>
      <c r="K4" s="2375"/>
      <c r="L4" s="2375"/>
      <c r="M4" s="2375"/>
      <c r="N4" s="135"/>
      <c r="O4" s="299"/>
    </row>
    <row r="5" spans="1:15" s="15" customFormat="1" ht="13.2" x14ac:dyDescent="0.25">
      <c r="A5" s="299"/>
      <c r="B5" s="348"/>
      <c r="C5" s="1785"/>
      <c r="D5" s="1785" t="s">
        <v>197</v>
      </c>
      <c r="E5" s="1785" t="s">
        <v>198</v>
      </c>
      <c r="F5" s="1785" t="s">
        <v>199</v>
      </c>
      <c r="G5" s="1785" t="s">
        <v>200</v>
      </c>
      <c r="H5" s="1786"/>
      <c r="I5" s="1785"/>
      <c r="J5" s="1785" t="s">
        <v>197</v>
      </c>
      <c r="K5" s="1785" t="s">
        <v>198</v>
      </c>
      <c r="L5" s="1785" t="s">
        <v>199</v>
      </c>
      <c r="M5" s="1785" t="s">
        <v>200</v>
      </c>
      <c r="N5" s="1786"/>
      <c r="O5" s="299"/>
    </row>
    <row r="6" spans="1:15" s="15" customFormat="1" ht="13.2" x14ac:dyDescent="0.25">
      <c r="A6" s="299"/>
      <c r="B6" s="348"/>
      <c r="C6" s="1784" t="s">
        <v>201</v>
      </c>
      <c r="D6" s="1784" t="s">
        <v>202</v>
      </c>
      <c r="E6" s="1784" t="str">
        <f>IF(Measurement=2,"(Mgals)","(Ccf's)")</f>
        <v>(Mgals)</v>
      </c>
      <c r="F6" s="1784" t="str">
        <f>E6</f>
        <v>(Mgals)</v>
      </c>
      <c r="G6" s="1784" t="s">
        <v>203</v>
      </c>
      <c r="H6" s="1786"/>
      <c r="I6" s="1784" t="s">
        <v>201</v>
      </c>
      <c r="J6" s="1784" t="s">
        <v>202</v>
      </c>
      <c r="K6" s="1784" t="str">
        <f>E6</f>
        <v>(Mgals)</v>
      </c>
      <c r="L6" s="1784" t="str">
        <f>E6</f>
        <v>(Mgals)</v>
      </c>
      <c r="M6" s="1784" t="s">
        <v>203</v>
      </c>
      <c r="N6" s="2054"/>
      <c r="O6" s="299"/>
    </row>
    <row r="7" spans="1:15" s="15" customFormat="1" ht="13.2" x14ac:dyDescent="0.25">
      <c r="A7" s="299"/>
      <c r="B7" s="348"/>
      <c r="C7" s="1790">
        <f>Data!C246</f>
        <v>2018</v>
      </c>
      <c r="D7" s="1787">
        <f>Data!D246</f>
        <v>614</v>
      </c>
      <c r="E7" s="1787">
        <f>IF(Measurement=2,Data!E246,Data!E246/0.748)</f>
        <v>23564</v>
      </c>
      <c r="F7" s="1788">
        <f>E7/D7/4</f>
        <v>9.5944625407166129</v>
      </c>
      <c r="G7" s="1789">
        <v>0</v>
      </c>
      <c r="H7" s="101"/>
      <c r="I7" s="1790">
        <f>Data!C252</f>
        <v>2018</v>
      </c>
      <c r="J7" s="1787">
        <f>Data!D252</f>
        <v>30</v>
      </c>
      <c r="K7" s="1787">
        <f>IF(Measurement=2,Data!E252,Data!E252/0.748)</f>
        <v>1242</v>
      </c>
      <c r="L7" s="1788">
        <f>K7/J7/4</f>
        <v>10.35</v>
      </c>
      <c r="M7" s="1789">
        <v>0</v>
      </c>
      <c r="N7" s="2055"/>
      <c r="O7" s="299"/>
    </row>
    <row r="8" spans="1:15" s="15" customFormat="1" ht="13.2" x14ac:dyDescent="0.25">
      <c r="A8" s="299"/>
      <c r="B8" s="348"/>
      <c r="C8" s="1790">
        <f>Data!C247</f>
        <v>2019</v>
      </c>
      <c r="D8" s="1787">
        <f>Data!D247</f>
        <v>612</v>
      </c>
      <c r="E8" s="1787">
        <f>IF(Measurement=2,Data!E247,Data!E247/0.748)</f>
        <v>23658</v>
      </c>
      <c r="F8" s="1788">
        <f>E8/D8/4</f>
        <v>9.6642156862745097</v>
      </c>
      <c r="G8" s="1789">
        <f>D8-D7</f>
        <v>-2</v>
      </c>
      <c r="H8" s="1791"/>
      <c r="I8" s="1790">
        <f>Data!C253</f>
        <v>2019</v>
      </c>
      <c r="J8" s="1787">
        <f>Data!D253</f>
        <v>29</v>
      </c>
      <c r="K8" s="1787">
        <f>IF(Measurement=2,Data!E253,Data!E253/0.748)</f>
        <v>1322</v>
      </c>
      <c r="L8" s="1788">
        <f>K8/J8/4</f>
        <v>11.396551724137931</v>
      </c>
      <c r="M8" s="1789">
        <f>J8-J7</f>
        <v>-1</v>
      </c>
      <c r="N8" s="2055"/>
      <c r="O8" s="299"/>
    </row>
    <row r="9" spans="1:15" s="15" customFormat="1" ht="13.2" x14ac:dyDescent="0.25">
      <c r="A9" s="299"/>
      <c r="B9" s="348"/>
      <c r="C9" s="1790">
        <f>Data!C248</f>
        <v>2020</v>
      </c>
      <c r="D9" s="1787">
        <f>Data!D248</f>
        <v>612</v>
      </c>
      <c r="E9" s="1787">
        <f>IF(Measurement=2,Data!E248,Data!E248/0.748)</f>
        <v>24553</v>
      </c>
      <c r="F9" s="1788">
        <f>E9/D9/4</f>
        <v>10.029820261437909</v>
      </c>
      <c r="G9" s="1789">
        <f>D9-D8</f>
        <v>0</v>
      </c>
      <c r="H9" s="1791"/>
      <c r="I9" s="1790">
        <f>Data!C254</f>
        <v>2020</v>
      </c>
      <c r="J9" s="1787">
        <f>Data!D254</f>
        <v>29</v>
      </c>
      <c r="K9" s="1787">
        <f>IF(Measurement=2,Data!E254,Data!E254/0.748)</f>
        <v>1014</v>
      </c>
      <c r="L9" s="1788">
        <f>K9/J9/4</f>
        <v>8.7413793103448274</v>
      </c>
      <c r="M9" s="1789">
        <f>J9-J8</f>
        <v>0</v>
      </c>
      <c r="N9" s="2055"/>
      <c r="O9" s="299"/>
    </row>
    <row r="10" spans="1:15" s="15" customFormat="1" ht="13.2" x14ac:dyDescent="0.25">
      <c r="A10" s="299"/>
      <c r="B10" s="348"/>
      <c r="C10" s="1790">
        <f>Data!C249</f>
        <v>2021</v>
      </c>
      <c r="D10" s="1787">
        <f>Data!D249</f>
        <v>614</v>
      </c>
      <c r="E10" s="1787">
        <f>IF(Measurement=2,Data!E249,Data!E249/0.748)</f>
        <v>24634</v>
      </c>
      <c r="F10" s="1788">
        <f>E10/D10/4</f>
        <v>10.030130293159608</v>
      </c>
      <c r="G10" s="1789">
        <f>D10-D9</f>
        <v>2</v>
      </c>
      <c r="H10" s="1791"/>
      <c r="I10" s="1790">
        <f>Data!C255</f>
        <v>2021</v>
      </c>
      <c r="J10" s="1787">
        <f>Data!D255</f>
        <v>29</v>
      </c>
      <c r="K10" s="1787">
        <f>IF(Measurement=2,Data!E255,Data!E255/0.748)</f>
        <v>1511</v>
      </c>
      <c r="L10" s="1788">
        <f>K10/J10/4</f>
        <v>13.025862068965518</v>
      </c>
      <c r="M10" s="1789">
        <f>J10-J9</f>
        <v>0</v>
      </c>
      <c r="N10" s="2055"/>
      <c r="O10" s="299"/>
    </row>
    <row r="11" spans="1:15" s="15" customFormat="1" ht="13.2" x14ac:dyDescent="0.25">
      <c r="A11" s="299"/>
      <c r="B11" s="348"/>
      <c r="C11" s="1790">
        <f>Data!C250</f>
        <v>2022</v>
      </c>
      <c r="D11" s="1787">
        <f>+Attach2B!G32</f>
        <v>614</v>
      </c>
      <c r="E11" s="1787">
        <v>23890</v>
      </c>
      <c r="F11" s="1788">
        <f>E11/D11/4</f>
        <v>9.7271986970684043</v>
      </c>
      <c r="G11" s="1789">
        <f>D11-D10</f>
        <v>0</v>
      </c>
      <c r="H11" s="1791"/>
      <c r="I11" s="1790">
        <f>Data!C256</f>
        <v>2022</v>
      </c>
      <c r="J11" s="1787">
        <f>Attach2B!I32</f>
        <v>29</v>
      </c>
      <c r="K11" s="1787">
        <v>1455</v>
      </c>
      <c r="L11" s="1788">
        <f>K11/J11/4</f>
        <v>12.543103448275861</v>
      </c>
      <c r="M11" s="1789">
        <f>J11-J10</f>
        <v>0</v>
      </c>
      <c r="N11" s="2055"/>
      <c r="O11" s="299"/>
    </row>
    <row r="12" spans="1:15" s="15" customFormat="1" ht="13.2" x14ac:dyDescent="0.25">
      <c r="A12" s="299"/>
      <c r="B12" s="348"/>
      <c r="C12" s="1790">
        <f>Data!C251</f>
        <v>2023</v>
      </c>
      <c r="D12" s="1787">
        <f>Attach3B!G32</f>
        <v>615</v>
      </c>
      <c r="E12" s="1787">
        <f>Attach3A!D52</f>
        <v>24080</v>
      </c>
      <c r="F12" s="1788">
        <f>IF(ISERROR(E12/D12/4),0,E12/D12/4)</f>
        <v>9.7886178861788622</v>
      </c>
      <c r="G12" s="1789">
        <f>D12-D11</f>
        <v>1</v>
      </c>
      <c r="H12" s="1791"/>
      <c r="I12" s="1790">
        <f>Data!C257</f>
        <v>2023</v>
      </c>
      <c r="J12" s="1787">
        <f>Attach3B!I32</f>
        <v>29</v>
      </c>
      <c r="K12" s="1787">
        <f>Attach3A!F52</f>
        <v>1192</v>
      </c>
      <c r="L12" s="1788">
        <f>IF(ISERROR(K12/J12/4),0,(K12/J12/4))</f>
        <v>10.275862068965518</v>
      </c>
      <c r="M12" s="1789">
        <f>J12-J11</f>
        <v>0</v>
      </c>
      <c r="N12" s="2055"/>
      <c r="O12" s="299"/>
    </row>
    <row r="13" spans="1:15" s="15" customFormat="1" ht="13.2" x14ac:dyDescent="0.25">
      <c r="A13" s="299"/>
      <c r="B13" s="348"/>
      <c r="C13" s="1792"/>
      <c r="D13" s="1792"/>
      <c r="E13" s="1792"/>
      <c r="F13" s="1792"/>
      <c r="G13" s="1793"/>
      <c r="H13" s="101"/>
      <c r="I13" s="1792"/>
      <c r="J13" s="1792"/>
      <c r="K13" s="1792"/>
      <c r="L13" s="1792"/>
      <c r="M13" s="1793"/>
      <c r="N13" s="2056"/>
      <c r="O13" s="299"/>
    </row>
    <row r="14" spans="1:15" s="15" customFormat="1" ht="13.2" x14ac:dyDescent="0.25">
      <c r="A14" s="299"/>
      <c r="B14" s="348"/>
      <c r="C14" s="1794" t="s">
        <v>204</v>
      </c>
      <c r="D14" s="1792"/>
      <c r="E14" s="1792"/>
      <c r="F14" s="1792"/>
      <c r="G14" s="1793"/>
      <c r="H14" s="101"/>
      <c r="I14" s="1794" t="s">
        <v>204</v>
      </c>
      <c r="J14" s="1792"/>
      <c r="K14" s="1792"/>
      <c r="L14" s="1792"/>
      <c r="M14" s="1793"/>
      <c r="N14" s="2056"/>
      <c r="O14" s="299"/>
    </row>
    <row r="15" spans="1:15" s="15" customFormat="1" ht="13.2" x14ac:dyDescent="0.25">
      <c r="A15" s="299"/>
      <c r="B15" s="348"/>
      <c r="C15" s="1794" t="s">
        <v>205</v>
      </c>
      <c r="D15" s="1787">
        <f>IF(D11=0,AVERAGE(D7:D10),AVERAGE(D7:D11))</f>
        <v>613.20000000000005</v>
      </c>
      <c r="E15" s="1787">
        <f>IF(E$11=0,AVERAGE(E7:E$10),AVERAGE(E7:E$11))</f>
        <v>24059.8</v>
      </c>
      <c r="F15" s="1788">
        <f>E15/D15/4</f>
        <v>9.8091161121983035</v>
      </c>
      <c r="G15" s="1788">
        <v>0</v>
      </c>
      <c r="H15" s="1791"/>
      <c r="I15" s="1794" t="s">
        <v>205</v>
      </c>
      <c r="J15" s="1787">
        <f>IF(J$11=0,AVERAGE(J7:J$10),AVERAGE(J7:J$11))</f>
        <v>29.2</v>
      </c>
      <c r="K15" s="1787">
        <f>IF(K$11=0,AVERAGE(K7:K$10),AVERAGE(K7:K$11))</f>
        <v>1308.8</v>
      </c>
      <c r="L15" s="1788">
        <f>K15/J15/4</f>
        <v>11.205479452054794</v>
      </c>
      <c r="M15" s="1788">
        <v>0</v>
      </c>
      <c r="N15" s="2057"/>
      <c r="O15" s="299"/>
    </row>
    <row r="16" spans="1:15" s="15" customFormat="1" ht="13.2" x14ac:dyDescent="0.25">
      <c r="A16" s="299"/>
      <c r="B16" s="348"/>
      <c r="C16" s="1794" t="s">
        <v>206</v>
      </c>
      <c r="D16" s="1787">
        <f>IF(D$11=0,AVERAGE(D8:D$10),AVERAGE(D8:D$11))</f>
        <v>613</v>
      </c>
      <c r="E16" s="1787">
        <f>IF(E$11=0,AVERAGE(E8:E$10),AVERAGE(E8:E$11))</f>
        <v>24183.75</v>
      </c>
      <c r="F16" s="1788">
        <f>E16/D16/4</f>
        <v>9.8628670473083204</v>
      </c>
      <c r="G16" s="1788">
        <f>AVERAGE(G8:G11)</f>
        <v>0</v>
      </c>
      <c r="H16" s="1791"/>
      <c r="I16" s="1794" t="s">
        <v>206</v>
      </c>
      <c r="J16" s="1787">
        <f>IF(J$11=0,AVERAGE(J8:J$10),AVERAGE(J8:J$11))</f>
        <v>29</v>
      </c>
      <c r="K16" s="1787">
        <f>IF(K$11=0,AVERAGE(K8:K$10),AVERAGE(K8:K$11))</f>
        <v>1325.5</v>
      </c>
      <c r="L16" s="1788">
        <f>K16/J16/4</f>
        <v>11.426724137931034</v>
      </c>
      <c r="M16" s="1788">
        <f>AVERAGE(M8:M11)</f>
        <v>-0.25</v>
      </c>
      <c r="N16" s="2057"/>
      <c r="O16" s="299"/>
    </row>
    <row r="17" spans="1:19" s="15" customFormat="1" ht="13.2" x14ac:dyDescent="0.25">
      <c r="A17" s="299"/>
      <c r="B17" s="348"/>
      <c r="C17" s="1794" t="s">
        <v>207</v>
      </c>
      <c r="D17" s="1787">
        <f>IF(D$11=0,AVERAGE(D9:D$10),AVERAGE(D9:D$11))</f>
        <v>613.33333333333337</v>
      </c>
      <c r="E17" s="1787">
        <f>IF(E$11=0,AVERAGE(E9:E$10),AVERAGE(E9:E$11))</f>
        <v>24359</v>
      </c>
      <c r="F17" s="1788">
        <f>E17/D17/4</f>
        <v>9.9289402173913039</v>
      </c>
      <c r="G17" s="1788">
        <f>AVERAGE(G9:G11)</f>
        <v>0.66666666666666663</v>
      </c>
      <c r="H17" s="1791"/>
      <c r="I17" s="1794" t="s">
        <v>207</v>
      </c>
      <c r="J17" s="1787">
        <f>IF(J$11=0,AVERAGE(J9:J$10),AVERAGE(J9:J$11))</f>
        <v>29</v>
      </c>
      <c r="K17" s="1787">
        <f>IF(K$11=0,AVERAGE(K9:K$10),AVERAGE(K9:K$11))</f>
        <v>1326.6666666666667</v>
      </c>
      <c r="L17" s="1788">
        <f>K17/J17/4</f>
        <v>11.436781609195403</v>
      </c>
      <c r="M17" s="1788">
        <f>AVERAGE(M9:M11)</f>
        <v>0</v>
      </c>
      <c r="N17" s="2057"/>
      <c r="O17" s="299"/>
    </row>
    <row r="18" spans="1:19" s="15" customFormat="1" ht="13.2" x14ac:dyDescent="0.25">
      <c r="A18" s="299"/>
      <c r="B18" s="348"/>
      <c r="C18" s="1794" t="s">
        <v>208</v>
      </c>
      <c r="D18" s="1787">
        <f>IF(D$11=0,AVERAGE(D10:D$10),AVERAGE(D10:D$11))</f>
        <v>614</v>
      </c>
      <c r="E18" s="1787">
        <f>IF(E$11=0,AVERAGE(E10:E$10),AVERAGE(E10:E$11))</f>
        <v>24262</v>
      </c>
      <c r="F18" s="1788">
        <f>E18/D18/4</f>
        <v>9.8786644951140072</v>
      </c>
      <c r="G18" s="1788">
        <f>AVERAGE(G10:G11)</f>
        <v>1</v>
      </c>
      <c r="H18" s="1791"/>
      <c r="I18" s="1794" t="s">
        <v>208</v>
      </c>
      <c r="J18" s="1787">
        <f>IF(J$11=0,AVERAGE(J10:J$10),AVERAGE(J10:J$11))</f>
        <v>29</v>
      </c>
      <c r="K18" s="1787">
        <f>IF(K$11=0,AVERAGE(K10:K$10),AVERAGE(K10:K$11))</f>
        <v>1483</v>
      </c>
      <c r="L18" s="1788">
        <f>K18/J18/4</f>
        <v>12.78448275862069</v>
      </c>
      <c r="M18" s="1788">
        <f>AVERAGE(M10:M11)</f>
        <v>0</v>
      </c>
      <c r="N18" s="2057"/>
      <c r="O18" s="299"/>
      <c r="S18" s="44"/>
    </row>
    <row r="19" spans="1:19" s="15" customFormat="1" ht="13.2" x14ac:dyDescent="0.25">
      <c r="A19" s="299"/>
      <c r="B19" s="348"/>
      <c r="C19" s="1794">
        <f>C11</f>
        <v>2022</v>
      </c>
      <c r="D19" s="1787">
        <f>IF(D$11=0,0,D11)</f>
        <v>614</v>
      </c>
      <c r="E19" s="1787">
        <f>IF(E$11=0,0,E11)</f>
        <v>23890</v>
      </c>
      <c r="F19" s="1788">
        <f>E19/D19/4</f>
        <v>9.7271986970684043</v>
      </c>
      <c r="G19" s="1788">
        <f>G11</f>
        <v>0</v>
      </c>
      <c r="H19" s="1791"/>
      <c r="I19" s="1794">
        <f>I11</f>
        <v>2022</v>
      </c>
      <c r="J19" s="1787">
        <f>IF(J$11=0,0,J11)</f>
        <v>29</v>
      </c>
      <c r="K19" s="1787">
        <f>IF(K$11=0,0,K11)</f>
        <v>1455</v>
      </c>
      <c r="L19" s="1788">
        <f>K19/J19/4</f>
        <v>12.543103448275861</v>
      </c>
      <c r="M19" s="1788">
        <f>M11</f>
        <v>0</v>
      </c>
      <c r="N19" s="2057"/>
      <c r="O19" s="299"/>
    </row>
    <row r="20" spans="1:19" s="15" customFormat="1" ht="13.2" x14ac:dyDescent="0.25">
      <c r="A20" s="299"/>
      <c r="B20" s="348"/>
      <c r="C20" s="101"/>
      <c r="D20" s="101"/>
      <c r="E20" s="101"/>
      <c r="F20" s="101"/>
      <c r="G20" s="101"/>
      <c r="H20" s="101"/>
      <c r="I20" s="101"/>
      <c r="J20" s="101"/>
      <c r="K20" s="101"/>
      <c r="L20" s="101"/>
      <c r="M20" s="101"/>
      <c r="N20" s="101"/>
      <c r="O20" s="299"/>
    </row>
    <row r="21" spans="1:19" s="15" customFormat="1" ht="13.2" x14ac:dyDescent="0.25">
      <c r="A21" s="299"/>
      <c r="B21" s="348"/>
      <c r="C21" s="101"/>
      <c r="D21" s="101"/>
      <c r="E21" s="101"/>
      <c r="F21" s="101"/>
      <c r="G21" s="101"/>
      <c r="H21" s="101"/>
      <c r="I21" s="101"/>
      <c r="J21" s="101"/>
      <c r="K21" s="101"/>
      <c r="L21" s="101"/>
      <c r="M21" s="101"/>
      <c r="N21" s="101"/>
      <c r="O21" s="299"/>
    </row>
    <row r="22" spans="1:19" s="15" customFormat="1" ht="13.2" x14ac:dyDescent="0.25">
      <c r="A22" s="299"/>
      <c r="B22" s="348"/>
      <c r="C22" s="2374" t="s">
        <v>815</v>
      </c>
      <c r="D22" s="2375"/>
      <c r="E22" s="2375"/>
      <c r="F22" s="2375"/>
      <c r="G22" s="2375"/>
      <c r="H22" s="101"/>
      <c r="I22" s="2374" t="s">
        <v>11</v>
      </c>
      <c r="J22" s="2375"/>
      <c r="K22" s="2375"/>
      <c r="L22" s="2375"/>
      <c r="M22" s="2375"/>
      <c r="N22" s="135"/>
      <c r="O22" s="299"/>
    </row>
    <row r="23" spans="1:19" s="15" customFormat="1" ht="13.2" x14ac:dyDescent="0.25">
      <c r="A23" s="299"/>
      <c r="B23" s="348"/>
      <c r="C23" s="1785"/>
      <c r="D23" s="1785" t="s">
        <v>197</v>
      </c>
      <c r="E23" s="1785" t="s">
        <v>198</v>
      </c>
      <c r="F23" s="1785" t="s">
        <v>199</v>
      </c>
      <c r="G23" s="1785" t="s">
        <v>200</v>
      </c>
      <c r="H23" s="1786"/>
      <c r="I23" s="1785"/>
      <c r="J23" s="1785" t="s">
        <v>197</v>
      </c>
      <c r="K23" s="1785" t="s">
        <v>198</v>
      </c>
      <c r="L23" s="1785" t="s">
        <v>199</v>
      </c>
      <c r="M23" s="1785" t="s">
        <v>200</v>
      </c>
      <c r="N23" s="1786"/>
      <c r="O23" s="299"/>
    </row>
    <row r="24" spans="1:19" s="15" customFormat="1" ht="13.2" x14ac:dyDescent="0.25">
      <c r="A24" s="299"/>
      <c r="B24" s="348"/>
      <c r="C24" s="1784" t="s">
        <v>201</v>
      </c>
      <c r="D24" s="1784" t="s">
        <v>202</v>
      </c>
      <c r="E24" s="1784" t="str">
        <f>E6</f>
        <v>(Mgals)</v>
      </c>
      <c r="F24" s="1784" t="str">
        <f>E42</f>
        <v>(Mgals)</v>
      </c>
      <c r="G24" s="1784" t="s">
        <v>203</v>
      </c>
      <c r="H24" s="1786"/>
      <c r="I24" s="1784" t="s">
        <v>201</v>
      </c>
      <c r="J24" s="1784" t="s">
        <v>202</v>
      </c>
      <c r="K24" s="1784" t="str">
        <f>K42</f>
        <v>(Mgals)</v>
      </c>
      <c r="L24" s="1784" t="str">
        <f>K42</f>
        <v>(Mgals)</v>
      </c>
      <c r="M24" s="1784" t="s">
        <v>203</v>
      </c>
      <c r="N24" s="2054"/>
      <c r="O24" s="299"/>
    </row>
    <row r="25" spans="1:19" s="15" customFormat="1" ht="13.2" x14ac:dyDescent="0.25">
      <c r="A25" s="299"/>
      <c r="B25" s="348"/>
      <c r="C25" s="1790">
        <f>Data!C270</f>
        <v>2018</v>
      </c>
      <c r="D25" s="1787">
        <f>Data!D270</f>
        <v>4</v>
      </c>
      <c r="E25" s="1787">
        <f>IF(Measurement=2,Data!E270,Data!E270/0.748)</f>
        <v>941</v>
      </c>
      <c r="F25" s="1788">
        <f>E25/D25/4</f>
        <v>58.8125</v>
      </c>
      <c r="G25" s="1789">
        <v>0</v>
      </c>
      <c r="H25" s="101"/>
      <c r="I25" s="1790">
        <f>Data!C264</f>
        <v>2018</v>
      </c>
      <c r="J25" s="1787">
        <f>Data!D264</f>
        <v>20</v>
      </c>
      <c r="K25" s="1787">
        <f>IF(Measurement=2,Data!E264,Data!E264/0.748)</f>
        <v>2188</v>
      </c>
      <c r="L25" s="1788">
        <f>K25/J25/4</f>
        <v>27.35</v>
      </c>
      <c r="M25" s="1789">
        <v>0</v>
      </c>
      <c r="N25" s="2055"/>
      <c r="O25" s="299"/>
    </row>
    <row r="26" spans="1:19" s="15" customFormat="1" ht="13.2" x14ac:dyDescent="0.25">
      <c r="A26" s="299"/>
      <c r="B26" s="348"/>
      <c r="C26" s="1790">
        <f>Data!C271</f>
        <v>2019</v>
      </c>
      <c r="D26" s="1787">
        <f>Data!D271</f>
        <v>4</v>
      </c>
      <c r="E26" s="1787">
        <f>IF(Measurement=2,Data!E271,Data!E271/0.748)</f>
        <v>976</v>
      </c>
      <c r="F26" s="1788">
        <f>E26/D26/4</f>
        <v>61</v>
      </c>
      <c r="G26" s="1789">
        <f>D26-D25</f>
        <v>0</v>
      </c>
      <c r="H26" s="101"/>
      <c r="I26" s="1790">
        <f>Data!C265</f>
        <v>2019</v>
      </c>
      <c r="J26" s="1787">
        <f>Data!D265</f>
        <v>22</v>
      </c>
      <c r="K26" s="1787">
        <f>IF(Measurement=2,Data!E265,Data!E265/0.748)</f>
        <v>2084</v>
      </c>
      <c r="L26" s="1788">
        <f>K26/J26/4</f>
        <v>23.681818181818183</v>
      </c>
      <c r="M26" s="1789">
        <f>J26-J25</f>
        <v>2</v>
      </c>
      <c r="N26" s="2055"/>
      <c r="O26" s="299"/>
    </row>
    <row r="27" spans="1:19" s="15" customFormat="1" ht="13.2" x14ac:dyDescent="0.25">
      <c r="A27" s="299"/>
      <c r="B27" s="348"/>
      <c r="C27" s="1790">
        <f>Data!C272</f>
        <v>2020</v>
      </c>
      <c r="D27" s="1787">
        <f>Data!D272</f>
        <v>4</v>
      </c>
      <c r="E27" s="1787">
        <f>IF(Measurement=2,Data!E272,Data!E272/0.748)</f>
        <v>1101</v>
      </c>
      <c r="F27" s="1788">
        <f>E27/D27/4</f>
        <v>68.8125</v>
      </c>
      <c r="G27" s="1789">
        <f>D27-D26</f>
        <v>0</v>
      </c>
      <c r="H27" s="101"/>
      <c r="I27" s="1790">
        <f>Data!C266</f>
        <v>2020</v>
      </c>
      <c r="J27" s="1787">
        <f>Data!D266</f>
        <v>22</v>
      </c>
      <c r="K27" s="1787">
        <f>IF(Measurement=2,Data!E266,Data!E266/0.748)</f>
        <v>1582</v>
      </c>
      <c r="L27" s="1788">
        <f>K27/J27/4</f>
        <v>17.977272727272727</v>
      </c>
      <c r="M27" s="1789">
        <f>J27-J26</f>
        <v>0</v>
      </c>
      <c r="N27" s="2055"/>
      <c r="O27" s="299"/>
    </row>
    <row r="28" spans="1:19" s="15" customFormat="1" ht="13.2" x14ac:dyDescent="0.25">
      <c r="A28" s="299"/>
      <c r="B28" s="348"/>
      <c r="C28" s="1790">
        <f>Data!C273</f>
        <v>2021</v>
      </c>
      <c r="D28" s="1787">
        <f>Data!D273</f>
        <v>4</v>
      </c>
      <c r="E28" s="1787">
        <f>IF(Measurement=2,Data!E273,Data!E273/0.748)</f>
        <v>1177</v>
      </c>
      <c r="F28" s="1788">
        <f>E28/D28/4</f>
        <v>73.5625</v>
      </c>
      <c r="G28" s="1789">
        <f>D28-D27</f>
        <v>0</v>
      </c>
      <c r="H28" s="101"/>
      <c r="I28" s="1790">
        <f>Data!C267</f>
        <v>2021</v>
      </c>
      <c r="J28" s="1787">
        <f>Data!D267</f>
        <v>17</v>
      </c>
      <c r="K28" s="1787">
        <f>IF(Measurement=2,Data!E267,Data!E267/0.748)</f>
        <v>1612</v>
      </c>
      <c r="L28" s="1788">
        <f>K28/J28/4</f>
        <v>23.705882352941178</v>
      </c>
      <c r="M28" s="1789">
        <f>J28-J27</f>
        <v>-5</v>
      </c>
      <c r="N28" s="2055"/>
      <c r="O28" s="299"/>
    </row>
    <row r="29" spans="1:19" s="15" customFormat="1" ht="13.2" x14ac:dyDescent="0.25">
      <c r="A29" s="299"/>
      <c r="B29" s="348"/>
      <c r="C29" s="1790">
        <f>Data!C274</f>
        <v>2022</v>
      </c>
      <c r="D29" s="1787">
        <f>Attach2B!H32</f>
        <v>4</v>
      </c>
      <c r="E29" s="1787">
        <v>1370</v>
      </c>
      <c r="F29" s="1788">
        <f>E29/D29/4</f>
        <v>85.625</v>
      </c>
      <c r="G29" s="1789">
        <f>D29-D28</f>
        <v>0</v>
      </c>
      <c r="H29" s="101"/>
      <c r="I29" s="1790">
        <f>Data!C268</f>
        <v>2022</v>
      </c>
      <c r="J29" s="1787">
        <f>Attach2B!K32</f>
        <v>17</v>
      </c>
      <c r="K29" s="1787">
        <v>1817</v>
      </c>
      <c r="L29" s="1788">
        <f>K29/J29/4</f>
        <v>26.720588235294116</v>
      </c>
      <c r="M29" s="1789">
        <f>J29-J28</f>
        <v>0</v>
      </c>
      <c r="N29" s="2055"/>
      <c r="O29" s="299"/>
    </row>
    <row r="30" spans="1:19" s="15" customFormat="1" ht="13.2" x14ac:dyDescent="0.25">
      <c r="A30" s="299"/>
      <c r="B30" s="348"/>
      <c r="C30" s="1790">
        <f>Data!C275</f>
        <v>2023</v>
      </c>
      <c r="D30" s="1787">
        <f>Attach3B!H32</f>
        <v>4</v>
      </c>
      <c r="E30" s="1787">
        <f>Attach3A!E52</f>
        <v>1417</v>
      </c>
      <c r="F30" s="1788">
        <f>IF(ISERROR(E30/D30/4),0,E30/D30/4)</f>
        <v>88.5625</v>
      </c>
      <c r="G30" s="1789">
        <f>D30-D29</f>
        <v>0</v>
      </c>
      <c r="H30" s="101"/>
      <c r="I30" s="1790">
        <f>Data!C269</f>
        <v>2023</v>
      </c>
      <c r="J30" s="1787">
        <f>Attach3B!K32</f>
        <v>17</v>
      </c>
      <c r="K30" s="1787">
        <f>Attach3A!H52</f>
        <v>1742</v>
      </c>
      <c r="L30" s="1788">
        <f>IF(ISERROR(K30/J30/4),0,K30/J30/4)</f>
        <v>25.617647058823529</v>
      </c>
      <c r="M30" s="1789">
        <f>J30-J29</f>
        <v>0</v>
      </c>
      <c r="N30" s="2055"/>
      <c r="O30" s="299"/>
    </row>
    <row r="31" spans="1:19" s="15" customFormat="1" ht="13.2" x14ac:dyDescent="0.25">
      <c r="A31" s="299"/>
      <c r="B31" s="348"/>
      <c r="C31" s="1792"/>
      <c r="D31" s="1792"/>
      <c r="E31" s="1792"/>
      <c r="F31" s="1792"/>
      <c r="G31" s="1792"/>
      <c r="H31" s="101"/>
      <c r="I31" s="1792"/>
      <c r="J31" s="1792"/>
      <c r="K31" s="1792"/>
      <c r="L31" s="1792"/>
      <c r="M31" s="1793"/>
      <c r="N31" s="2056"/>
      <c r="O31" s="299"/>
    </row>
    <row r="32" spans="1:19" s="15" customFormat="1" ht="13.2" x14ac:dyDescent="0.25">
      <c r="A32" s="299"/>
      <c r="B32" s="348"/>
      <c r="C32" s="1794" t="s">
        <v>204</v>
      </c>
      <c r="D32" s="1792"/>
      <c r="E32" s="1792"/>
      <c r="F32" s="1792"/>
      <c r="G32" s="1792"/>
      <c r="H32" s="101"/>
      <c r="I32" s="1794" t="s">
        <v>204</v>
      </c>
      <c r="J32" s="1792"/>
      <c r="K32" s="1792"/>
      <c r="L32" s="1792"/>
      <c r="M32" s="1793"/>
      <c r="N32" s="2056"/>
      <c r="O32" s="299"/>
    </row>
    <row r="33" spans="1:15" s="15" customFormat="1" ht="13.2" x14ac:dyDescent="0.25">
      <c r="A33" s="299"/>
      <c r="B33" s="348"/>
      <c r="C33" s="1794" t="s">
        <v>205</v>
      </c>
      <c r="D33" s="1787">
        <f>IF(D$29=0,AVERAGE(D25:D$28),AVERAGE(D25:D$29))</f>
        <v>4</v>
      </c>
      <c r="E33" s="1787">
        <f>IF(E$29=0,AVERAGE(E25:E$28),AVERAGE(E25:E$29))</f>
        <v>1113</v>
      </c>
      <c r="F33" s="1788">
        <f>E33/D33/4</f>
        <v>69.5625</v>
      </c>
      <c r="G33" s="1788">
        <v>0</v>
      </c>
      <c r="H33" s="101"/>
      <c r="I33" s="1794" t="s">
        <v>205</v>
      </c>
      <c r="J33" s="1787">
        <f>IF(J$29=0,AVERAGE(J25:J$28),AVERAGE(J25:J$29))</f>
        <v>19.600000000000001</v>
      </c>
      <c r="K33" s="1787">
        <f>IF(K$29=0,AVERAGE(K25:K$28),AVERAGE(K25:K$29))</f>
        <v>1856.6</v>
      </c>
      <c r="L33" s="1788">
        <f>K33/J33/4</f>
        <v>23.68112244897959</v>
      </c>
      <c r="M33" s="1788">
        <v>0</v>
      </c>
      <c r="N33" s="2057"/>
      <c r="O33" s="299"/>
    </row>
    <row r="34" spans="1:15" s="15" customFormat="1" ht="13.2" x14ac:dyDescent="0.25">
      <c r="A34" s="299"/>
      <c r="B34" s="348"/>
      <c r="C34" s="1794" t="s">
        <v>206</v>
      </c>
      <c r="D34" s="1787">
        <f>IF(D$29=0,AVERAGE(D26:D$28),AVERAGE(D26:D$29))</f>
        <v>4</v>
      </c>
      <c r="E34" s="1787">
        <f>IF(E$29=0,AVERAGE(E26:E$28),AVERAGE(E26:E$29))</f>
        <v>1156</v>
      </c>
      <c r="F34" s="1788">
        <f>E34/D34/4</f>
        <v>72.25</v>
      </c>
      <c r="G34" s="1788">
        <f>AVERAGE(G26:G29)</f>
        <v>0</v>
      </c>
      <c r="H34" s="101"/>
      <c r="I34" s="1794" t="s">
        <v>206</v>
      </c>
      <c r="J34" s="1787">
        <f>IF(J$29=0,AVERAGE(J26:J$28),AVERAGE(J26:J$29))</f>
        <v>19.5</v>
      </c>
      <c r="K34" s="1787">
        <f>IF(K$29=0,AVERAGE(K26:K$28),AVERAGE(K26:K$29))</f>
        <v>1773.75</v>
      </c>
      <c r="L34" s="1788">
        <f>K34/J34/4</f>
        <v>22.740384615384617</v>
      </c>
      <c r="M34" s="1788">
        <f>AVERAGE(M26:M29)</f>
        <v>-0.75</v>
      </c>
      <c r="N34" s="2057"/>
      <c r="O34" s="299"/>
    </row>
    <row r="35" spans="1:15" s="15" customFormat="1" ht="13.2" x14ac:dyDescent="0.25">
      <c r="A35" s="299"/>
      <c r="B35" s="348"/>
      <c r="C35" s="1794" t="s">
        <v>207</v>
      </c>
      <c r="D35" s="1787">
        <f>IF(D$29=0,AVERAGE(D27:D$28),AVERAGE(D27:D$29))</f>
        <v>4</v>
      </c>
      <c r="E35" s="1787">
        <f>IF(E$29=0,AVERAGE(E27:E$28),AVERAGE(E27:E$29))</f>
        <v>1216</v>
      </c>
      <c r="F35" s="1788">
        <f>E35/D35/4</f>
        <v>76</v>
      </c>
      <c r="G35" s="1788">
        <f>AVERAGE(G27:G29)</f>
        <v>0</v>
      </c>
      <c r="H35" s="101"/>
      <c r="I35" s="1794" t="s">
        <v>207</v>
      </c>
      <c r="J35" s="1787">
        <f>IF(J$29=0,AVERAGE(J27:J$28),AVERAGE(J27:J$29))</f>
        <v>18.666666666666668</v>
      </c>
      <c r="K35" s="1787">
        <f>IF(K$29=0,AVERAGE(K27:K$28),AVERAGE(K27:K$29))</f>
        <v>1670.3333333333333</v>
      </c>
      <c r="L35" s="1788">
        <f>K35/J35/4</f>
        <v>22.370535714285712</v>
      </c>
      <c r="M35" s="1788">
        <f>AVERAGE(M27:M29)</f>
        <v>-1.6666666666666667</v>
      </c>
      <c r="N35" s="2057"/>
      <c r="O35" s="299"/>
    </row>
    <row r="36" spans="1:15" s="15" customFormat="1" ht="13.2" x14ac:dyDescent="0.25">
      <c r="A36" s="299"/>
      <c r="B36" s="348"/>
      <c r="C36" s="1794" t="s">
        <v>208</v>
      </c>
      <c r="D36" s="1787">
        <f>IF(D$29=0,AVERAGE(D28:D$28),AVERAGE(D28:D$29))</f>
        <v>4</v>
      </c>
      <c r="E36" s="1787">
        <f>IF(E$29=0,AVERAGE(E28:E$28),AVERAGE(E28:E$29))</f>
        <v>1273.5</v>
      </c>
      <c r="F36" s="1788">
        <f>E36/D36/4</f>
        <v>79.59375</v>
      </c>
      <c r="G36" s="1788">
        <f>AVERAGE(G28:G29)</f>
        <v>0</v>
      </c>
      <c r="H36" s="101"/>
      <c r="I36" s="1794" t="s">
        <v>208</v>
      </c>
      <c r="J36" s="1787">
        <f>IF(J$29=0,AVERAGE(J28:J$28),AVERAGE(J28:J$29))</f>
        <v>17</v>
      </c>
      <c r="K36" s="1787">
        <f>IF(K$29=0,AVERAGE(K28:K$28),AVERAGE(K28:K$29))</f>
        <v>1714.5</v>
      </c>
      <c r="L36" s="1788">
        <f>K36/J36/4</f>
        <v>25.213235294117649</v>
      </c>
      <c r="M36" s="1788">
        <f>AVERAGE(M28:M29)</f>
        <v>-2.5</v>
      </c>
      <c r="N36" s="2057"/>
      <c r="O36" s="299"/>
    </row>
    <row r="37" spans="1:15" s="15" customFormat="1" ht="13.2" x14ac:dyDescent="0.25">
      <c r="A37" s="299"/>
      <c r="B37" s="348"/>
      <c r="C37" s="1794">
        <f>C29</f>
        <v>2022</v>
      </c>
      <c r="D37" s="1787">
        <f>D29</f>
        <v>4</v>
      </c>
      <c r="E37" s="1787">
        <f>E29</f>
        <v>1370</v>
      </c>
      <c r="F37" s="1788">
        <f>E37/D37/4</f>
        <v>85.625</v>
      </c>
      <c r="G37" s="1788">
        <f>G29</f>
        <v>0</v>
      </c>
      <c r="H37" s="101"/>
      <c r="I37" s="1794">
        <f>I29</f>
        <v>2022</v>
      </c>
      <c r="J37" s="1787">
        <f>J29</f>
        <v>17</v>
      </c>
      <c r="K37" s="1787">
        <f>K29</f>
        <v>1817</v>
      </c>
      <c r="L37" s="1788">
        <f>K37/J37/4</f>
        <v>26.720588235294116</v>
      </c>
      <c r="M37" s="1788">
        <f>M29</f>
        <v>0</v>
      </c>
      <c r="N37" s="2057"/>
      <c r="O37" s="299"/>
    </row>
    <row r="38" spans="1:15" s="15" customFormat="1" ht="13.2" x14ac:dyDescent="0.25">
      <c r="A38" s="299"/>
      <c r="B38" s="348"/>
      <c r="C38" s="101"/>
      <c r="D38" s="101"/>
      <c r="E38" s="101"/>
      <c r="F38" s="101"/>
      <c r="G38" s="101"/>
      <c r="H38" s="101"/>
      <c r="I38" s="101"/>
      <c r="J38" s="101"/>
      <c r="K38" s="101"/>
      <c r="L38" s="101"/>
      <c r="M38" s="101"/>
      <c r="N38" s="101"/>
      <c r="O38" s="299"/>
    </row>
    <row r="39" spans="1:15" s="15" customFormat="1" ht="13.2" x14ac:dyDescent="0.25">
      <c r="A39" s="299"/>
      <c r="B39" s="348"/>
      <c r="C39" s="101"/>
      <c r="D39" s="101"/>
      <c r="E39" s="101"/>
      <c r="F39" s="101"/>
      <c r="G39" s="101"/>
      <c r="H39" s="101"/>
      <c r="I39" s="101"/>
      <c r="J39" s="101"/>
      <c r="K39" s="101"/>
      <c r="L39" s="101"/>
      <c r="M39" s="101"/>
      <c r="N39" s="101"/>
      <c r="O39" s="299"/>
    </row>
    <row r="40" spans="1:15" s="15" customFormat="1" ht="13.2" x14ac:dyDescent="0.25">
      <c r="A40" s="299"/>
      <c r="B40" s="348"/>
      <c r="C40" s="2374" t="s">
        <v>785</v>
      </c>
      <c r="D40" s="2375"/>
      <c r="E40" s="2375"/>
      <c r="F40" s="2375"/>
      <c r="G40" s="2375"/>
      <c r="H40" s="101"/>
      <c r="I40" s="2374" t="s">
        <v>10</v>
      </c>
      <c r="J40" s="2375"/>
      <c r="K40" s="2375"/>
      <c r="L40" s="2375"/>
      <c r="M40" s="2375"/>
      <c r="N40" s="135"/>
      <c r="O40" s="299"/>
    </row>
    <row r="41" spans="1:15" s="15" customFormat="1" ht="13.2" x14ac:dyDescent="0.25">
      <c r="A41" s="299"/>
      <c r="B41" s="348"/>
      <c r="C41" s="1785"/>
      <c r="D41" s="1785" t="s">
        <v>197</v>
      </c>
      <c r="E41" s="1785" t="s">
        <v>198</v>
      </c>
      <c r="F41" s="1785" t="s">
        <v>199</v>
      </c>
      <c r="G41" s="1785" t="s">
        <v>200</v>
      </c>
      <c r="H41" s="101"/>
      <c r="I41" s="1785"/>
      <c r="J41" s="1785" t="s">
        <v>197</v>
      </c>
      <c r="K41" s="1785" t="s">
        <v>198</v>
      </c>
      <c r="L41" s="1785" t="s">
        <v>199</v>
      </c>
      <c r="M41" s="1785" t="s">
        <v>200</v>
      </c>
      <c r="N41" s="1786"/>
      <c r="O41" s="299"/>
    </row>
    <row r="42" spans="1:15" x14ac:dyDescent="0.25">
      <c r="A42" s="906"/>
      <c r="B42" s="909"/>
      <c r="C42" s="1784" t="s">
        <v>201</v>
      </c>
      <c r="D42" s="1784" t="s">
        <v>202</v>
      </c>
      <c r="E42" s="1784" t="str">
        <f>E24</f>
        <v>(Mgals)</v>
      </c>
      <c r="F42" s="1784" t="str">
        <f>F24</f>
        <v>(Mgals)</v>
      </c>
      <c r="G42" s="1784" t="s">
        <v>203</v>
      </c>
      <c r="H42" s="1639"/>
      <c r="I42" s="1784" t="s">
        <v>201</v>
      </c>
      <c r="J42" s="1784" t="s">
        <v>202</v>
      </c>
      <c r="K42" s="1784" t="str">
        <f>E6</f>
        <v>(Mgals)</v>
      </c>
      <c r="L42" s="1784" t="str">
        <f>K42</f>
        <v>(Mgals)</v>
      </c>
      <c r="M42" s="1784" t="s">
        <v>203</v>
      </c>
      <c r="N42" s="2054"/>
      <c r="O42" s="906"/>
    </row>
    <row r="43" spans="1:15" x14ac:dyDescent="0.25">
      <c r="A43" s="906"/>
      <c r="B43" s="909"/>
      <c r="C43" s="1790">
        <f>Data!C276</f>
        <v>2018</v>
      </c>
      <c r="D43" s="1787">
        <f>Data!D276</f>
        <v>0</v>
      </c>
      <c r="E43" s="1787">
        <f>IF(Measurement=2,Data!E276,Data!E276/0.748)</f>
        <v>0</v>
      </c>
      <c r="F43" s="1788" t="e">
        <f>E43/D43/4</f>
        <v>#DIV/0!</v>
      </c>
      <c r="G43" s="1789">
        <v>0</v>
      </c>
      <c r="H43" s="1639"/>
      <c r="I43" s="1790">
        <f>Data!C258</f>
        <v>2018</v>
      </c>
      <c r="J43" s="1787">
        <f>Data!D258</f>
        <v>4</v>
      </c>
      <c r="K43" s="1787">
        <f>IF(Measurement=2,Data!E258,Data!E258/0.748)</f>
        <v>1317</v>
      </c>
      <c r="L43" s="1788">
        <f>K43/J43/4</f>
        <v>82.3125</v>
      </c>
      <c r="M43" s="1789">
        <v>0</v>
      </c>
      <c r="N43" s="2055"/>
      <c r="O43" s="906"/>
    </row>
    <row r="44" spans="1:15" x14ac:dyDescent="0.25">
      <c r="A44" s="906"/>
      <c r="B44" s="909"/>
      <c r="C44" s="1790">
        <f>Data!C277</f>
        <v>2019</v>
      </c>
      <c r="D44" s="1787">
        <f>Data!D277</f>
        <v>0</v>
      </c>
      <c r="E44" s="1787">
        <f>IF(Measurement=2,Data!E277,Data!E277/0.748)</f>
        <v>0</v>
      </c>
      <c r="F44" s="1788" t="e">
        <f>E44/D44/4</f>
        <v>#DIV/0!</v>
      </c>
      <c r="G44" s="1789">
        <f>D44-D43</f>
        <v>0</v>
      </c>
      <c r="H44" s="1639"/>
      <c r="I44" s="1790">
        <f>Data!C259</f>
        <v>2019</v>
      </c>
      <c r="J44" s="1787">
        <f>Data!D259</f>
        <v>4</v>
      </c>
      <c r="K44" s="1787">
        <f>IF(Measurement=2,Data!E259,Data!E259/0.748)</f>
        <v>1910</v>
      </c>
      <c r="L44" s="1788">
        <f>K44/J44/4</f>
        <v>119.375</v>
      </c>
      <c r="M44" s="1789">
        <f>J44-J43</f>
        <v>0</v>
      </c>
      <c r="N44" s="2055"/>
      <c r="O44" s="906"/>
    </row>
    <row r="45" spans="1:15" x14ac:dyDescent="0.25">
      <c r="A45" s="906"/>
      <c r="B45" s="909"/>
      <c r="C45" s="1790">
        <f>Data!C278</f>
        <v>2020</v>
      </c>
      <c r="D45" s="1787">
        <f>Data!D278</f>
        <v>0</v>
      </c>
      <c r="E45" s="1787">
        <f>IF(Measurement=2,Data!E278,Data!E278/0.748)</f>
        <v>0</v>
      </c>
      <c r="F45" s="1788" t="e">
        <f>E45/D45/4</f>
        <v>#DIV/0!</v>
      </c>
      <c r="G45" s="1789">
        <f>D45-D44</f>
        <v>0</v>
      </c>
      <c r="H45" s="1639"/>
      <c r="I45" s="1790">
        <f>Data!C260</f>
        <v>2020</v>
      </c>
      <c r="J45" s="1787">
        <f>Data!D260</f>
        <v>4</v>
      </c>
      <c r="K45" s="1787">
        <f>IF(Measurement=2,Data!E260,Data!E260/0.748)</f>
        <v>1490</v>
      </c>
      <c r="L45" s="1788">
        <f>K45/J45/4</f>
        <v>93.125</v>
      </c>
      <c r="M45" s="1789">
        <f>J45-J44</f>
        <v>0</v>
      </c>
      <c r="N45" s="2055"/>
      <c r="O45" s="906"/>
    </row>
    <row r="46" spans="1:15" x14ac:dyDescent="0.25">
      <c r="A46" s="906"/>
      <c r="B46" s="909"/>
      <c r="C46" s="1790">
        <f>Data!C279</f>
        <v>2021</v>
      </c>
      <c r="D46" s="1787">
        <f>Data!D279</f>
        <v>0</v>
      </c>
      <c r="E46" s="1787">
        <f>IF(Measurement=2,Data!E279,Data!E279/0.748)</f>
        <v>0</v>
      </c>
      <c r="F46" s="1788" t="e">
        <f>E46/D46/4</f>
        <v>#DIV/0!</v>
      </c>
      <c r="G46" s="1789">
        <f>D46-D45</f>
        <v>0</v>
      </c>
      <c r="H46" s="1639"/>
      <c r="I46" s="1790">
        <f>Data!C261</f>
        <v>2021</v>
      </c>
      <c r="J46" s="1787">
        <f>Data!D261</f>
        <v>4</v>
      </c>
      <c r="K46" s="1787">
        <f>IF(Measurement=2,Data!E261,Data!E261/0.748)</f>
        <v>1969</v>
      </c>
      <c r="L46" s="1788">
        <f>K46/J46/4</f>
        <v>123.0625</v>
      </c>
      <c r="M46" s="1789">
        <f>J46-J45</f>
        <v>0</v>
      </c>
      <c r="N46" s="2055"/>
      <c r="O46" s="906"/>
    </row>
    <row r="47" spans="1:15" x14ac:dyDescent="0.25">
      <c r="A47" s="906"/>
      <c r="B47" s="909"/>
      <c r="C47" s="1790">
        <f>Data!C280</f>
        <v>2022</v>
      </c>
      <c r="D47" s="1787">
        <f>Data!D280</f>
        <v>0</v>
      </c>
      <c r="E47" s="1787">
        <f>IF(Measurement=2,Data!E280,Data!E280/0.748)</f>
        <v>0</v>
      </c>
      <c r="F47" s="1788" t="e">
        <f>E47/D47/4</f>
        <v>#DIV/0!</v>
      </c>
      <c r="G47" s="1789">
        <f>D47-D46</f>
        <v>0</v>
      </c>
      <c r="H47" s="1639"/>
      <c r="I47" s="1790">
        <f>Data!C262</f>
        <v>2022</v>
      </c>
      <c r="J47" s="1787">
        <f>Attach2B!J32</f>
        <v>4</v>
      </c>
      <c r="K47" s="1787">
        <v>1658</v>
      </c>
      <c r="L47" s="1788">
        <f>K47/J47/4</f>
        <v>103.625</v>
      </c>
      <c r="M47" s="1789">
        <f>J47-J46</f>
        <v>0</v>
      </c>
      <c r="N47" s="2055"/>
      <c r="O47" s="906"/>
    </row>
    <row r="48" spans="1:15" x14ac:dyDescent="0.25">
      <c r="A48" s="906"/>
      <c r="B48" s="909"/>
      <c r="C48" s="1790">
        <f>Data!C281</f>
        <v>2023</v>
      </c>
      <c r="D48" s="1787">
        <f>Data!D281</f>
        <v>0</v>
      </c>
      <c r="E48" s="1787">
        <f>IF(Measurement=2,Data!E281,Data!E281/0.748)</f>
        <v>0</v>
      </c>
      <c r="F48" s="1788">
        <f>IF(ISERROR(E48/D48/4),0,E48/D48/4)</f>
        <v>0</v>
      </c>
      <c r="G48" s="1789">
        <f>D48-D47</f>
        <v>0</v>
      </c>
      <c r="H48" s="1639"/>
      <c r="I48" s="1790">
        <f>Data!C263</f>
        <v>2023</v>
      </c>
      <c r="J48" s="1787">
        <f>Attach3B!J32</f>
        <v>4</v>
      </c>
      <c r="K48" s="1787">
        <f>Attach3A!G52</f>
        <v>2013</v>
      </c>
      <c r="L48" s="1788">
        <f>IF(ISERROR(K48/J48/4),0,K48/J48/4)</f>
        <v>125.8125</v>
      </c>
      <c r="M48" s="1789">
        <f>J48-J47</f>
        <v>0</v>
      </c>
      <c r="N48" s="2055"/>
      <c r="O48" s="906"/>
    </row>
    <row r="49" spans="1:15" x14ac:dyDescent="0.25">
      <c r="A49" s="906"/>
      <c r="B49" s="909"/>
      <c r="C49" s="1795"/>
      <c r="D49" s="1795"/>
      <c r="E49" s="1795"/>
      <c r="F49" s="1795"/>
      <c r="G49" s="1795"/>
      <c r="H49" s="1639"/>
      <c r="I49" s="1792"/>
      <c r="J49" s="1792"/>
      <c r="K49" s="1792"/>
      <c r="L49" s="1792"/>
      <c r="M49" s="1793"/>
      <c r="N49" s="2056"/>
      <c r="O49" s="906"/>
    </row>
    <row r="50" spans="1:15" x14ac:dyDescent="0.25">
      <c r="A50" s="906"/>
      <c r="B50" s="909"/>
      <c r="C50" s="1794" t="s">
        <v>204</v>
      </c>
      <c r="D50" s="1795"/>
      <c r="E50" s="1795"/>
      <c r="F50" s="1795"/>
      <c r="G50" s="1795"/>
      <c r="H50" s="1639"/>
      <c r="I50" s="1794" t="s">
        <v>204</v>
      </c>
      <c r="J50" s="1792"/>
      <c r="K50" s="1792"/>
      <c r="L50" s="1792"/>
      <c r="M50" s="1793"/>
      <c r="N50" s="2056"/>
      <c r="O50" s="906"/>
    </row>
    <row r="51" spans="1:15" x14ac:dyDescent="0.25">
      <c r="A51" s="906"/>
      <c r="B51" s="909"/>
      <c r="C51" s="1794" t="s">
        <v>205</v>
      </c>
      <c r="D51" s="1787">
        <f>IF(D$47=0,AVERAGE(D$43:D46),AVERAGE(D$43:D47))</f>
        <v>0</v>
      </c>
      <c r="E51" s="1787">
        <f>IF(E$47=0,AVERAGE(E$43:E46),AVERAGE(E$43:E47))</f>
        <v>0</v>
      </c>
      <c r="F51" s="1788" t="e">
        <f>E51/D51/4</f>
        <v>#DIV/0!</v>
      </c>
      <c r="G51" s="1788">
        <v>0</v>
      </c>
      <c r="H51" s="1639"/>
      <c r="I51" s="1794" t="s">
        <v>205</v>
      </c>
      <c r="J51" s="1787">
        <f>IF(J$47=0,AVERAGE(J43:J$46),AVERAGE(J43:J$47))</f>
        <v>4</v>
      </c>
      <c r="K51" s="1787">
        <f>IF(K$47=0,AVERAGE(K43:K$46),AVERAGE(K43:K$47))</f>
        <v>1668.8</v>
      </c>
      <c r="L51" s="1788">
        <f>K51/J51/4</f>
        <v>104.3</v>
      </c>
      <c r="M51" s="1788">
        <v>0</v>
      </c>
      <c r="N51" s="2057"/>
      <c r="O51" s="906"/>
    </row>
    <row r="52" spans="1:15" x14ac:dyDescent="0.25">
      <c r="A52" s="906"/>
      <c r="B52" s="909"/>
      <c r="C52" s="1794" t="s">
        <v>206</v>
      </c>
      <c r="D52" s="1787">
        <f>IF(D$47=0,AVERAGE(D$44:D46),AVERAGE(D$44:D47))</f>
        <v>0</v>
      </c>
      <c r="E52" s="1787">
        <f>IF(E$47=0,AVERAGE(E$44:E46),AVERAGE(E$44:E47))</f>
        <v>0</v>
      </c>
      <c r="F52" s="1788" t="e">
        <f>E52/D52/4</f>
        <v>#DIV/0!</v>
      </c>
      <c r="G52" s="1788">
        <f>AVERAGE(G44:G47)</f>
        <v>0</v>
      </c>
      <c r="H52" s="1639"/>
      <c r="I52" s="1794" t="s">
        <v>206</v>
      </c>
      <c r="J52" s="1787">
        <f>IF(J$47=0,AVERAGE(J44:J$46),AVERAGE(J44:J$47))</f>
        <v>4</v>
      </c>
      <c r="K52" s="1787">
        <f>IF(K$47=0,AVERAGE(K44:K$46),AVERAGE(K44:K$47))</f>
        <v>1756.75</v>
      </c>
      <c r="L52" s="1788">
        <f>K52/J52/4</f>
        <v>109.796875</v>
      </c>
      <c r="M52" s="1788">
        <f>AVERAGE(M44:M47)</f>
        <v>0</v>
      </c>
      <c r="N52" s="2057"/>
      <c r="O52" s="906"/>
    </row>
    <row r="53" spans="1:15" x14ac:dyDescent="0.25">
      <c r="A53" s="906"/>
      <c r="B53" s="909"/>
      <c r="C53" s="1794" t="s">
        <v>207</v>
      </c>
      <c r="D53" s="1787">
        <f>IF(D$47=0,AVERAGE(D$45:D46),AVERAGE(D$45:D47))</f>
        <v>0</v>
      </c>
      <c r="E53" s="1787">
        <f>IF(E$47=0,AVERAGE(E$45:E46),AVERAGE(E$45:E47))</f>
        <v>0</v>
      </c>
      <c r="F53" s="1788" t="e">
        <f>E53/D53/4</f>
        <v>#DIV/0!</v>
      </c>
      <c r="G53" s="1788">
        <f>AVERAGE(G45:G47)</f>
        <v>0</v>
      </c>
      <c r="H53" s="1639"/>
      <c r="I53" s="1794" t="s">
        <v>207</v>
      </c>
      <c r="J53" s="1787">
        <f>IF(J$47=0,AVERAGE(J45:J$46),AVERAGE(J45:J$47))</f>
        <v>4</v>
      </c>
      <c r="K53" s="1787">
        <f>IF(K$47=0,AVERAGE(K45:K$46),AVERAGE(K45:K$47))</f>
        <v>1705.6666666666667</v>
      </c>
      <c r="L53" s="1788">
        <f>K53/J53/4</f>
        <v>106.60416666666667</v>
      </c>
      <c r="M53" s="1788">
        <f>AVERAGE(M45:M47)</f>
        <v>0</v>
      </c>
      <c r="N53" s="2057"/>
      <c r="O53" s="906"/>
    </row>
    <row r="54" spans="1:15" x14ac:dyDescent="0.25">
      <c r="A54" s="906"/>
      <c r="B54" s="909"/>
      <c r="C54" s="1794" t="s">
        <v>208</v>
      </c>
      <c r="D54" s="1787">
        <f>IF(D$47=0,AVERAGE(D$46:D46),AVERAGE(D$46:D47))</f>
        <v>0</v>
      </c>
      <c r="E54" s="1787">
        <f>IF(E$47=0,AVERAGE(E$46:E46),AVERAGE(E$46:E47))</f>
        <v>0</v>
      </c>
      <c r="F54" s="1788" t="e">
        <f>E54/D54/4</f>
        <v>#DIV/0!</v>
      </c>
      <c r="G54" s="1788">
        <f>AVERAGE(G46:G47)</f>
        <v>0</v>
      </c>
      <c r="H54" s="1639"/>
      <c r="I54" s="1794" t="s">
        <v>208</v>
      </c>
      <c r="J54" s="1787">
        <f>IF(J$47=0,AVERAGE(J46:J$46),AVERAGE(J46:J$47))</f>
        <v>4</v>
      </c>
      <c r="K54" s="1787">
        <f>IF(K$47=0,AVERAGE(K46:K$46),AVERAGE(K46:K$47))</f>
        <v>1813.5</v>
      </c>
      <c r="L54" s="1788">
        <f>K54/J54/4</f>
        <v>113.34375</v>
      </c>
      <c r="M54" s="1788">
        <f>AVERAGE(M46:M47)</f>
        <v>0</v>
      </c>
      <c r="N54" s="2057"/>
      <c r="O54" s="906"/>
    </row>
    <row r="55" spans="1:15" x14ac:dyDescent="0.25">
      <c r="A55" s="906"/>
      <c r="B55" s="909"/>
      <c r="C55" s="1794">
        <f>C47</f>
        <v>2022</v>
      </c>
      <c r="D55" s="1787">
        <f>D47</f>
        <v>0</v>
      </c>
      <c r="E55" s="1787">
        <f>E47</f>
        <v>0</v>
      </c>
      <c r="F55" s="1788" t="e">
        <f>E55/D55/4</f>
        <v>#DIV/0!</v>
      </c>
      <c r="G55" s="1788">
        <f>G47</f>
        <v>0</v>
      </c>
      <c r="H55" s="1639"/>
      <c r="I55" s="1794">
        <f>I47</f>
        <v>2022</v>
      </c>
      <c r="J55" s="1787">
        <f>J47</f>
        <v>4</v>
      </c>
      <c r="K55" s="1787">
        <f>K47</f>
        <v>1658</v>
      </c>
      <c r="L55" s="1788">
        <f>K55/J55/4</f>
        <v>103.625</v>
      </c>
      <c r="M55" s="1788">
        <f>M47</f>
        <v>0</v>
      </c>
      <c r="N55" s="2057"/>
      <c r="O55" s="906"/>
    </row>
    <row r="56" spans="1:15" x14ac:dyDescent="0.25">
      <c r="A56" s="906"/>
      <c r="B56" s="909"/>
      <c r="C56" s="1639"/>
      <c r="D56" s="1639"/>
      <c r="E56" s="1639"/>
      <c r="F56" s="1639"/>
      <c r="G56" s="1639"/>
      <c r="H56" s="1639"/>
      <c r="I56" s="1639"/>
      <c r="J56" s="1639"/>
      <c r="K56" s="1639"/>
      <c r="L56" s="1639"/>
      <c r="M56" s="1639"/>
      <c r="N56" s="1639"/>
      <c r="O56" s="906"/>
    </row>
    <row r="57" spans="1:15" x14ac:dyDescent="0.25">
      <c r="A57" s="906"/>
      <c r="B57" s="909"/>
      <c r="C57" s="1639"/>
      <c r="D57" s="1639"/>
      <c r="E57" s="1639"/>
      <c r="F57" s="1639"/>
      <c r="G57" s="1639"/>
      <c r="H57" s="1639"/>
      <c r="I57" s="1639"/>
      <c r="J57" s="1639"/>
      <c r="K57" s="1639"/>
      <c r="L57" s="1639"/>
      <c r="M57" s="1639"/>
      <c r="N57" s="1639"/>
      <c r="O57" s="906"/>
    </row>
    <row r="58" spans="1:15" x14ac:dyDescent="0.25">
      <c r="A58" s="906"/>
      <c r="B58" s="906"/>
      <c r="C58" s="1770"/>
      <c r="D58" s="1770"/>
      <c r="E58" s="1770"/>
      <c r="F58" s="1770"/>
      <c r="G58" s="1770"/>
      <c r="H58" s="1770"/>
      <c r="I58" s="1770"/>
      <c r="J58" s="1770"/>
      <c r="K58" s="1770"/>
      <c r="L58" s="1770"/>
      <c r="M58" s="1770"/>
      <c r="N58" s="1770"/>
      <c r="O58" s="906"/>
    </row>
    <row r="59" spans="1:15" x14ac:dyDescent="0.25">
      <c r="A59" s="906"/>
      <c r="B59" s="906"/>
      <c r="C59" s="1770"/>
      <c r="D59" s="1770"/>
      <c r="E59" s="1770"/>
      <c r="F59" s="1770"/>
      <c r="G59" s="1770"/>
      <c r="H59" s="1770"/>
      <c r="I59" s="1770"/>
      <c r="J59" s="1770"/>
      <c r="K59" s="1770"/>
      <c r="L59" s="1770"/>
      <c r="M59" s="1770"/>
      <c r="N59" s="1770"/>
      <c r="O59" s="906"/>
    </row>
  </sheetData>
  <sheetProtection password="E593" sheet="1" objects="1" scenarios="1"/>
  <customSheetViews>
    <customSheetView guid="{B63065A1-7838-417A-8679-08A8A2B79CD8}" fitToPage="1">
      <selection activeCell="I3" sqref="I3"/>
      <pageMargins left="0.7" right="0.7" top="0.75" bottom="0.75" header="0.3" footer="0.3"/>
      <pageSetup scale="70" orientation="landscape" r:id="rId1"/>
    </customSheetView>
  </customSheetViews>
  <mergeCells count="7">
    <mergeCell ref="D1:L1"/>
    <mergeCell ref="I40:M40"/>
    <mergeCell ref="I22:M22"/>
    <mergeCell ref="C4:G4"/>
    <mergeCell ref="I4:M4"/>
    <mergeCell ref="C22:G22"/>
    <mergeCell ref="C40:G40"/>
  </mergeCells>
  <pageMargins left="0.7" right="0.7" top="0.75" bottom="0.75" header="0.3" footer="0.3"/>
  <pageSetup scale="66" orientation="landscape"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O89"/>
  <sheetViews>
    <sheetView showGridLines="0" topLeftCell="B25" zoomScaleNormal="100" workbookViewId="0">
      <selection activeCell="H51" sqref="H51"/>
    </sheetView>
  </sheetViews>
  <sheetFormatPr defaultRowHeight="14.4" x14ac:dyDescent="0.3"/>
  <cols>
    <col min="2" max="2" width="9.109375" customWidth="1"/>
    <col min="3" max="3" width="15.5546875" customWidth="1"/>
    <col min="4" max="4" width="17.33203125" customWidth="1"/>
    <col min="5" max="5" width="17.44140625" customWidth="1"/>
    <col min="6" max="6" width="18.6640625" customWidth="1"/>
    <col min="7" max="8" width="14.44140625" customWidth="1"/>
    <col min="9" max="9" width="14" customWidth="1"/>
    <col min="10" max="10" width="19.44140625" customWidth="1"/>
    <col min="14" max="14" width="8.88671875" style="1747" customWidth="1"/>
    <col min="15" max="15" width="11.33203125" style="1747" customWidth="1"/>
  </cols>
  <sheetData>
    <row r="1" spans="1:14" x14ac:dyDescent="0.3">
      <c r="A1" s="1157"/>
      <c r="B1" s="81"/>
      <c r="C1" s="176"/>
      <c r="D1" s="79"/>
      <c r="E1" s="78"/>
      <c r="F1" s="78"/>
      <c r="G1" s="78"/>
      <c r="H1" s="78"/>
      <c r="I1" s="78"/>
      <c r="J1" s="78"/>
      <c r="K1" s="78"/>
      <c r="L1" s="182"/>
      <c r="M1" s="78"/>
    </row>
    <row r="2" spans="1:14" ht="25.95" customHeight="1" x14ac:dyDescent="0.3">
      <c r="A2" s="1157"/>
      <c r="B2" s="78"/>
      <c r="C2" s="78"/>
      <c r="D2" s="177"/>
      <c r="E2" s="78"/>
      <c r="F2" s="218"/>
      <c r="G2" s="223"/>
      <c r="H2" s="219"/>
      <c r="I2" s="1157"/>
      <c r="J2" s="219"/>
      <c r="K2" s="219"/>
      <c r="L2" s="219"/>
      <c r="M2" s="219"/>
      <c r="N2" s="1771"/>
    </row>
    <row r="3" spans="1:14" ht="17.100000000000001" customHeight="1" x14ac:dyDescent="0.3">
      <c r="A3" s="1157"/>
      <c r="B3" s="2063"/>
      <c r="C3" s="2063"/>
      <c r="D3" s="2378" t="str">
        <f>Utility</f>
        <v>Cleveland Water Utility</v>
      </c>
      <c r="E3" s="2378"/>
      <c r="F3" s="2378"/>
      <c r="G3" s="2378"/>
      <c r="H3" s="2378"/>
      <c r="I3" s="2378"/>
      <c r="J3" s="2378"/>
      <c r="K3" s="2063"/>
      <c r="L3" s="2063"/>
      <c r="M3" s="78"/>
      <c r="N3" s="57"/>
    </row>
    <row r="4" spans="1:14" ht="16.5" customHeight="1" x14ac:dyDescent="0.3">
      <c r="A4" s="1157"/>
      <c r="B4" s="2063"/>
      <c r="C4" s="2064"/>
      <c r="D4" s="2377" t="s">
        <v>874</v>
      </c>
      <c r="E4" s="2377"/>
      <c r="F4" s="2377"/>
      <c r="G4" s="2377"/>
      <c r="H4" s="2377"/>
      <c r="I4" s="2377"/>
      <c r="J4" s="2377"/>
      <c r="K4" s="2064"/>
      <c r="L4" s="2064"/>
      <c r="M4" s="80"/>
      <c r="N4" s="1772"/>
    </row>
    <row r="5" spans="1:14" ht="16.5" customHeight="1" x14ac:dyDescent="0.3">
      <c r="A5" s="1157"/>
      <c r="B5" s="2052" t="str">
        <f>TestYear &amp; " Test Year"</f>
        <v>2023 Test Year</v>
      </c>
      <c r="C5" s="1157"/>
      <c r="D5" s="2376" t="s">
        <v>843</v>
      </c>
      <c r="E5" s="2376"/>
      <c r="F5" s="2376"/>
      <c r="G5" s="2376"/>
      <c r="H5" s="2376"/>
      <c r="I5" s="2376"/>
      <c r="J5" s="2376"/>
      <c r="K5" s="1157"/>
      <c r="L5" s="2053" t="s">
        <v>954</v>
      </c>
      <c r="M5" s="1157"/>
    </row>
    <row r="6" spans="1:14" ht="16.5" customHeight="1" x14ac:dyDescent="0.3">
      <c r="A6" s="1157"/>
      <c r="B6" s="1773"/>
      <c r="C6" s="2066" t="s">
        <v>1263</v>
      </c>
      <c r="D6" s="1774"/>
      <c r="E6" s="1774"/>
      <c r="F6" s="1774"/>
      <c r="G6" s="1774"/>
      <c r="H6" s="1774"/>
      <c r="I6" s="1774"/>
      <c r="J6" s="1774"/>
      <c r="K6" s="1774"/>
      <c r="L6" s="1775"/>
      <c r="M6" s="1158"/>
    </row>
    <row r="7" spans="1:14" x14ac:dyDescent="0.3">
      <c r="A7" s="1157"/>
      <c r="B7" s="1778"/>
      <c r="C7" s="1570" t="s">
        <v>1264</v>
      </c>
      <c r="D7" s="1571"/>
      <c r="E7" s="1571"/>
      <c r="F7" s="1571"/>
      <c r="G7" s="1571"/>
      <c r="H7" s="1571"/>
      <c r="I7" s="1571"/>
      <c r="J7" s="1571"/>
      <c r="K7" s="1571"/>
      <c r="L7" s="1777"/>
      <c r="M7" s="1158"/>
    </row>
    <row r="8" spans="1:14" x14ac:dyDescent="0.3">
      <c r="A8" s="1157"/>
      <c r="B8" s="1778"/>
      <c r="C8" s="2068" t="s">
        <v>1265</v>
      </c>
      <c r="D8" s="2067"/>
      <c r="E8" s="2067"/>
      <c r="F8" s="2067"/>
      <c r="G8" s="2067"/>
      <c r="H8" s="2067"/>
      <c r="I8" s="2067"/>
      <c r="J8" s="2067"/>
      <c r="K8" s="2067"/>
      <c r="L8" s="1777"/>
      <c r="M8" s="1158"/>
    </row>
    <row r="9" spans="1:14" x14ac:dyDescent="0.3">
      <c r="A9" s="1157"/>
      <c r="B9" s="1778"/>
      <c r="C9" s="1570" t="s">
        <v>1266</v>
      </c>
      <c r="D9" s="1571"/>
      <c r="E9" s="1571"/>
      <c r="F9" s="1571"/>
      <c r="G9" s="1571"/>
      <c r="H9" s="1571"/>
      <c r="I9" s="1571"/>
      <c r="J9" s="1571"/>
      <c r="K9" s="1571"/>
      <c r="L9" s="1777"/>
      <c r="M9" s="1158"/>
    </row>
    <row r="10" spans="1:14" x14ac:dyDescent="0.3">
      <c r="A10" s="1157"/>
      <c r="B10" s="1778"/>
      <c r="C10" s="1570" t="s">
        <v>1267</v>
      </c>
      <c r="D10" s="1571"/>
      <c r="E10" s="1571"/>
      <c r="F10" s="1571"/>
      <c r="G10" s="1571"/>
      <c r="H10" s="1571"/>
      <c r="I10" s="1571"/>
      <c r="J10" s="1571"/>
      <c r="K10" s="1571"/>
      <c r="L10" s="1777"/>
      <c r="M10" s="1158"/>
    </row>
    <row r="11" spans="1:14" ht="15" thickBot="1" x14ac:dyDescent="0.35">
      <c r="A11" s="1157"/>
      <c r="B11" s="1778"/>
      <c r="C11" s="1571"/>
      <c r="D11" s="1571"/>
      <c r="E11" s="1571"/>
      <c r="F11" s="1571"/>
      <c r="G11" s="1571"/>
      <c r="H11" s="1571"/>
      <c r="I11" s="1571"/>
      <c r="J11" s="1571"/>
      <c r="K11" s="1571"/>
      <c r="L11" s="1777"/>
      <c r="M11" s="1158"/>
    </row>
    <row r="12" spans="1:14" ht="15" thickBot="1" x14ac:dyDescent="0.35">
      <c r="A12" s="1157"/>
      <c r="B12" s="1776"/>
      <c r="C12" s="1564" t="s">
        <v>842</v>
      </c>
      <c r="D12" s="1565"/>
      <c r="E12" s="1562">
        <f>BillingPeriods</f>
        <v>12</v>
      </c>
      <c r="F12" s="1566"/>
      <c r="G12" s="1566"/>
      <c r="H12" s="1566"/>
      <c r="I12" s="1567"/>
      <c r="J12" s="2388"/>
      <c r="K12" s="2388"/>
      <c r="L12" s="1777"/>
      <c r="M12" s="1158"/>
    </row>
    <row r="13" spans="1:14" x14ac:dyDescent="0.3">
      <c r="A13" s="1157"/>
      <c r="B13" s="1776"/>
      <c r="C13" s="1568"/>
      <c r="D13" s="1565"/>
      <c r="E13" s="1174"/>
      <c r="F13" s="1566"/>
      <c r="G13" s="1566"/>
      <c r="H13" s="1566"/>
      <c r="I13" s="1569"/>
      <c r="J13" s="1704"/>
      <c r="K13" s="1704"/>
      <c r="L13" s="1777"/>
      <c r="M13" s="1158"/>
    </row>
    <row r="14" spans="1:14" x14ac:dyDescent="0.3">
      <c r="A14" s="1157"/>
      <c r="B14" s="1778"/>
      <c r="C14" s="1570" t="s">
        <v>873</v>
      </c>
      <c r="D14" s="1571"/>
      <c r="E14" s="1571"/>
      <c r="F14" s="1610"/>
      <c r="G14" s="1563" t="str">
        <f>CBRate</f>
        <v>No</v>
      </c>
      <c r="H14" s="1614"/>
      <c r="I14" s="1614"/>
      <c r="J14" s="1610"/>
      <c r="K14" s="1571"/>
      <c r="L14" s="1777"/>
      <c r="M14" s="1158"/>
    </row>
    <row r="15" spans="1:14" x14ac:dyDescent="0.3">
      <c r="A15" s="1157"/>
      <c r="B15" s="1778"/>
      <c r="C15" s="1570"/>
      <c r="D15" s="1571"/>
      <c r="E15" s="1571"/>
      <c r="F15" s="1571"/>
      <c r="G15" s="1571"/>
      <c r="H15" s="1571"/>
      <c r="I15" s="1571"/>
      <c r="J15" s="1571"/>
      <c r="K15" s="1571"/>
      <c r="L15" s="1777"/>
      <c r="M15" s="1158"/>
    </row>
    <row r="16" spans="1:14" x14ac:dyDescent="0.3">
      <c r="A16" s="1157"/>
      <c r="B16" s="1778"/>
      <c r="C16" s="1570" t="str">
        <f>IF(CBRate="Yes","Which rate schedules do you have?","")</f>
        <v/>
      </c>
      <c r="D16" s="1572"/>
      <c r="E16" s="1570"/>
      <c r="F16" s="1570"/>
      <c r="G16" s="1570"/>
      <c r="H16" s="1570"/>
      <c r="I16" s="1570"/>
      <c r="J16" s="1571"/>
      <c r="K16" s="1571"/>
      <c r="L16" s="1777"/>
      <c r="M16" s="1158"/>
    </row>
    <row r="17" spans="1:13" x14ac:dyDescent="0.3">
      <c r="A17" s="1157"/>
      <c r="B17" s="1778"/>
      <c r="C17" s="1573" t="s">
        <v>961</v>
      </c>
      <c r="D17" s="1574" t="s">
        <v>960</v>
      </c>
      <c r="E17" s="1571"/>
      <c r="F17" s="1571"/>
      <c r="G17" s="1571"/>
      <c r="H17" s="1571"/>
      <c r="I17" s="1571"/>
      <c r="J17" s="1571"/>
      <c r="K17" s="1571"/>
      <c r="L17" s="1777"/>
      <c r="M17" s="1158"/>
    </row>
    <row r="18" spans="1:13" x14ac:dyDescent="0.3">
      <c r="A18" s="1157"/>
      <c r="B18" s="1778"/>
      <c r="C18" s="1570"/>
      <c r="D18" s="1571"/>
      <c r="E18" s="1571"/>
      <c r="F18" s="1571"/>
      <c r="G18" s="1571"/>
      <c r="H18" s="1571"/>
      <c r="I18" s="1571"/>
      <c r="J18" s="1571"/>
      <c r="K18" s="1571"/>
      <c r="L18" s="1777"/>
      <c r="M18" s="1158"/>
    </row>
    <row r="19" spans="1:13" x14ac:dyDescent="0.3">
      <c r="A19" s="1157"/>
      <c r="B19" s="1778"/>
      <c r="C19" s="1570"/>
      <c r="D19" s="1571"/>
      <c r="E19" s="1610" t="str">
        <f>IF(CBRate="Yes","Nonresidential","")</f>
        <v/>
      </c>
      <c r="F19" s="1610" t="str">
        <f>IF(CBRate="Yes",Attach2A!F14,"")</f>
        <v/>
      </c>
      <c r="G19" s="1610"/>
      <c r="H19" s="1610" t="str">
        <f>IF(CBRate="Yes","Multifamily","")</f>
        <v/>
      </c>
      <c r="I19" s="1610" t="str">
        <f>IF(CBRate="Yes",Attach2A!I14,"")</f>
        <v/>
      </c>
      <c r="J19" s="1610"/>
      <c r="K19" s="1571"/>
      <c r="L19" s="1777"/>
      <c r="M19" s="1158"/>
    </row>
    <row r="20" spans="1:13" x14ac:dyDescent="0.3">
      <c r="A20" s="1157"/>
      <c r="B20" s="1778"/>
      <c r="C20" s="1570"/>
      <c r="D20" s="1571"/>
      <c r="E20" s="1571"/>
      <c r="F20" s="1571"/>
      <c r="G20" s="1571"/>
      <c r="H20" s="1571" t="str">
        <f>IF(CBRate="Yes","Irrigation","")</f>
        <v/>
      </c>
      <c r="I20" s="1571" t="str">
        <f>IF(CBRate="Yes",Attach2A!I15,"")</f>
        <v/>
      </c>
      <c r="J20" s="1571"/>
      <c r="K20" s="1571"/>
      <c r="L20" s="1777"/>
      <c r="M20" s="1158"/>
    </row>
    <row r="21" spans="1:13" ht="12.75" customHeight="1" x14ac:dyDescent="0.3">
      <c r="A21" s="1157"/>
      <c r="B21" s="1778"/>
      <c r="C21" s="1570"/>
      <c r="D21" s="1571"/>
      <c r="E21" s="1571"/>
      <c r="F21" s="1571"/>
      <c r="G21" s="1571"/>
      <c r="H21" s="1571"/>
      <c r="I21" s="1571"/>
      <c r="J21" s="1571"/>
      <c r="K21" s="1571"/>
      <c r="L21" s="1777"/>
      <c r="M21" s="1158"/>
    </row>
    <row r="22" spans="1:13" x14ac:dyDescent="0.3">
      <c r="A22" s="1157"/>
      <c r="B22" s="1778"/>
      <c r="C22" s="1575"/>
      <c r="D22" s="1576" t="str">
        <f>IF(CBRate="","","Volume Block")</f>
        <v>Volume Block</v>
      </c>
      <c r="E22" s="1577" t="str">
        <f>IF(CBRate="","",IF(F18="Yes","Residential","Rate"))</f>
        <v>Rate</v>
      </c>
      <c r="F22" s="1576" t="str">
        <f>IF(CBRate="","",IF(F19="Yes","Nonresidential",""))</f>
        <v/>
      </c>
      <c r="G22" s="1577" t="str">
        <f>IF(CBRate="","",IF(I20="Yes","Irrigation",""))</f>
        <v/>
      </c>
      <c r="H22" s="1576" t="str">
        <f>IF(CBRate="","",IF(I19="Yes","Multifamily Residential",""))</f>
        <v/>
      </c>
      <c r="I22" s="1571"/>
      <c r="J22" s="1571"/>
      <c r="K22" s="1571"/>
      <c r="L22" s="1777"/>
      <c r="M22" s="1158"/>
    </row>
    <row r="23" spans="1:13" x14ac:dyDescent="0.3">
      <c r="A23" s="1157"/>
      <c r="B23" s="1778"/>
      <c r="C23" s="1578" t="str">
        <f>IF(CBRate="","","First")</f>
        <v>First</v>
      </c>
      <c r="D23" s="1561">
        <f>Block1</f>
        <v>10000</v>
      </c>
      <c r="E23" s="1372">
        <f>Attach2A!E18</f>
        <v>5.21</v>
      </c>
      <c r="F23" s="1518" t="str">
        <f>IF($F$19="Yes",Attach2A!F18,"")</f>
        <v/>
      </c>
      <c r="G23" s="1518" t="str">
        <f>IF($I$20="Yes",Attach2A!G18,"")</f>
        <v/>
      </c>
      <c r="H23" s="1518" t="str">
        <f>IF($I$19="Yes",Attach2A!H18,"")</f>
        <v/>
      </c>
      <c r="I23" s="1610"/>
      <c r="J23" s="1610"/>
      <c r="K23" s="1571"/>
      <c r="L23" s="1777"/>
      <c r="M23" s="1158"/>
    </row>
    <row r="24" spans="1:13" x14ac:dyDescent="0.3">
      <c r="A24" s="1157"/>
      <c r="B24" s="1778"/>
      <c r="C24" s="1582" t="str">
        <f>IF(CBRate="","","Next")</f>
        <v>Next</v>
      </c>
      <c r="D24" s="1561">
        <f>Block2</f>
        <v>56700</v>
      </c>
      <c r="E24" s="1372">
        <f>Attach2A!E19</f>
        <v>3.62</v>
      </c>
      <c r="F24" s="1518" t="str">
        <f>IF($F$19="Yes",Attach2A!F19,"")</f>
        <v/>
      </c>
      <c r="G24" s="1518" t="str">
        <f>IF($I$20="Yes",Attach2A!G19,"")</f>
        <v/>
      </c>
      <c r="H24" s="1518" t="str">
        <f>IF($I$19="Yes",Attach2A!H19,"")</f>
        <v/>
      </c>
      <c r="I24" s="1610"/>
      <c r="J24" s="1610"/>
      <c r="K24" s="1571"/>
      <c r="L24" s="1777"/>
      <c r="M24" s="1158"/>
    </row>
    <row r="25" spans="1:13" x14ac:dyDescent="0.3">
      <c r="A25" s="1157"/>
      <c r="B25" s="1778"/>
      <c r="C25" s="1582" t="str">
        <f>IF(CBRate="","","Next")</f>
        <v>Next</v>
      </c>
      <c r="D25" s="1561">
        <f>Block3</f>
        <v>0</v>
      </c>
      <c r="E25" s="1372">
        <f>Attach2A!E20</f>
        <v>0</v>
      </c>
      <c r="F25" s="1518" t="str">
        <f>IF($F$19="Yes",Attach2A!F20,"")</f>
        <v/>
      </c>
      <c r="G25" s="1518" t="str">
        <f>IF($I$20="Yes",Attach2A!G20,"")</f>
        <v/>
      </c>
      <c r="H25" s="1518" t="str">
        <f>IF($I$19="Yes",Attach2A!H20,"")</f>
        <v/>
      </c>
      <c r="I25" s="1610"/>
      <c r="J25" s="1610"/>
      <c r="K25" s="1571"/>
      <c r="L25" s="1777"/>
      <c r="M25" s="1158"/>
    </row>
    <row r="26" spans="1:13" x14ac:dyDescent="0.3">
      <c r="A26" s="1157"/>
      <c r="B26" s="1778"/>
      <c r="C26" s="1582" t="str">
        <f>IF(CBRate="","","Next")</f>
        <v>Next</v>
      </c>
      <c r="D26" s="1561">
        <f>Block4</f>
        <v>0</v>
      </c>
      <c r="E26" s="1372">
        <f>Attach2A!E21</f>
        <v>0</v>
      </c>
      <c r="F26" s="1518" t="str">
        <f>IF($F$19="Yes",Attach2A!F21,"")</f>
        <v/>
      </c>
      <c r="G26" s="1518" t="str">
        <f>IF($I$20="Yes",Attach2A!G21,"")</f>
        <v/>
      </c>
      <c r="H26" s="1518" t="str">
        <f>IF($I$19="Yes",Attach2A!H21,"")</f>
        <v/>
      </c>
      <c r="I26" s="1610"/>
      <c r="J26" s="1610"/>
      <c r="K26" s="1571"/>
      <c r="L26" s="1777"/>
      <c r="M26" s="1158"/>
    </row>
    <row r="27" spans="1:13" x14ac:dyDescent="0.3">
      <c r="A27" s="1157"/>
      <c r="B27" s="1778"/>
      <c r="C27" s="1583" t="str">
        <f>IF(CBRate="","","Over")</f>
        <v>Over</v>
      </c>
      <c r="D27" s="1561">
        <f>Block5</f>
        <v>66700</v>
      </c>
      <c r="E27" s="1372">
        <f>Attach2A!E22</f>
        <v>2.95</v>
      </c>
      <c r="F27" s="1518" t="str">
        <f>IF($F$19="Yes",Attach2A!F22,"")</f>
        <v/>
      </c>
      <c r="G27" s="1518" t="str">
        <f>IF($I$20="Yes",Attach2A!G22,"")</f>
        <v/>
      </c>
      <c r="H27" s="1518" t="str">
        <f>IF($I$19="Yes",Attach2A!H22,"")</f>
        <v/>
      </c>
      <c r="I27" s="1610"/>
      <c r="J27" s="1610"/>
      <c r="K27" s="1571"/>
      <c r="L27" s="1777"/>
      <c r="M27" s="1158"/>
    </row>
    <row r="28" spans="1:13" hidden="1" x14ac:dyDescent="0.3">
      <c r="A28" s="1157"/>
      <c r="B28" s="1778"/>
      <c r="C28" s="1578" t="str">
        <f>Attach2A!C23</f>
        <v/>
      </c>
      <c r="D28" s="1579">
        <f>Attach2A!D23</f>
        <v>0</v>
      </c>
      <c r="E28" s="1580">
        <f>Attach2A!E23</f>
        <v>0</v>
      </c>
      <c r="F28" s="1581" t="str">
        <f>IF($F$19="Yes",Attach2A!F23,"")</f>
        <v/>
      </c>
      <c r="G28" s="1581" t="str">
        <f>IF($I$20="Yes",Attach2A!G23,"")</f>
        <v/>
      </c>
      <c r="H28" s="1581" t="str">
        <f>IF($I$19="Yes",Attach2A!H23,"")</f>
        <v/>
      </c>
      <c r="I28" s="1571"/>
      <c r="J28" s="1571"/>
      <c r="K28" s="1571"/>
      <c r="L28" s="1777"/>
      <c r="M28" s="1158"/>
    </row>
    <row r="29" spans="1:13" hidden="1" x14ac:dyDescent="0.3">
      <c r="A29" s="1157"/>
      <c r="B29" s="1778"/>
      <c r="C29" s="1578" t="str">
        <f>Attach2A!C24</f>
        <v/>
      </c>
      <c r="D29" s="1579">
        <f>Attach2A!D24</f>
        <v>0</v>
      </c>
      <c r="E29" s="1580">
        <f>Attach2A!E24</f>
        <v>0</v>
      </c>
      <c r="F29" s="1581" t="str">
        <f>IF($F$19="Yes",Attach2A!F24,"")</f>
        <v/>
      </c>
      <c r="G29" s="1581" t="str">
        <f>IF($I$20="Yes",Attach2A!G24,"")</f>
        <v/>
      </c>
      <c r="H29" s="1581" t="str">
        <f>IF($I$19="Yes",Attach2A!H24,"")</f>
        <v/>
      </c>
      <c r="I29" s="1571"/>
      <c r="J29" s="1571"/>
      <c r="K29" s="1571"/>
      <c r="L29" s="1777"/>
      <c r="M29" s="1158"/>
    </row>
    <row r="30" spans="1:13" hidden="1" x14ac:dyDescent="0.3">
      <c r="A30" s="1157"/>
      <c r="B30" s="1778"/>
      <c r="C30" s="1578" t="str">
        <f>Attach2A!C18</f>
        <v>First</v>
      </c>
      <c r="D30" s="1579">
        <f>Attach2A!D25</f>
        <v>0</v>
      </c>
      <c r="E30" s="1580">
        <f>Attach2A!E25</f>
        <v>0</v>
      </c>
      <c r="F30" s="1581" t="str">
        <f>IF($F$19="Yes",Attach2A!F25,"")</f>
        <v/>
      </c>
      <c r="G30" s="1581" t="str">
        <f>IF($I$20="Yes",Attach2A!G25,"")</f>
        <v/>
      </c>
      <c r="H30" s="1581" t="str">
        <f>IF($I$19="Yes",Attach2A!H25,"")</f>
        <v/>
      </c>
      <c r="I30" s="1571"/>
      <c r="J30" s="1571"/>
      <c r="K30" s="1571"/>
      <c r="L30" s="1777"/>
      <c r="M30" s="1158"/>
    </row>
    <row r="31" spans="1:13" hidden="1" x14ac:dyDescent="0.3">
      <c r="A31" s="1157"/>
      <c r="B31" s="1778"/>
      <c r="C31" s="1578" t="str">
        <f>Attach2A!C19</f>
        <v>Next</v>
      </c>
      <c r="D31" s="1579">
        <f>Attach2A!D26</f>
        <v>0</v>
      </c>
      <c r="E31" s="1580">
        <f>Attach2A!E26</f>
        <v>0</v>
      </c>
      <c r="F31" s="1581" t="str">
        <f>IF($F$19="Yes",Attach2A!F26,"")</f>
        <v/>
      </c>
      <c r="G31" s="1581" t="str">
        <f>IF($I$20="Yes",Attach2A!G26,"")</f>
        <v/>
      </c>
      <c r="H31" s="1581" t="str">
        <f>IF($I$19="Yes",Attach2A!H26,"")</f>
        <v/>
      </c>
      <c r="I31" s="1571"/>
      <c r="J31" s="1571"/>
      <c r="K31" s="1571"/>
      <c r="L31" s="1777"/>
      <c r="M31" s="1158"/>
    </row>
    <row r="32" spans="1:13" hidden="1" x14ac:dyDescent="0.3">
      <c r="A32" s="1157"/>
      <c r="B32" s="1778"/>
      <c r="C32" s="1578" t="str">
        <f>Attach2A!C20</f>
        <v>Next</v>
      </c>
      <c r="D32" s="1579">
        <f>Attach2A!D27</f>
        <v>0</v>
      </c>
      <c r="E32" s="1580">
        <f>Attach2A!E27</f>
        <v>0</v>
      </c>
      <c r="F32" s="1581" t="str">
        <f>IF($F$19="Yes",Attach2A!F27,"")</f>
        <v/>
      </c>
      <c r="G32" s="1581" t="str">
        <f>IF($I$20="Yes",Attach2A!G27,"")</f>
        <v/>
      </c>
      <c r="H32" s="1581" t="str">
        <f>IF($I$19="Yes",Attach2A!H27,"")</f>
        <v/>
      </c>
      <c r="I32" s="1571"/>
      <c r="J32" s="1571"/>
      <c r="K32" s="1571"/>
      <c r="L32" s="1777"/>
      <c r="M32" s="1158"/>
    </row>
    <row r="33" spans="1:13" hidden="1" x14ac:dyDescent="0.3">
      <c r="A33" s="1157"/>
      <c r="B33" s="1778"/>
      <c r="C33" s="1578" t="str">
        <f>Attach2A!C21</f>
        <v>Next</v>
      </c>
      <c r="D33" s="1579">
        <f>Attach2A!D28</f>
        <v>0</v>
      </c>
      <c r="E33" s="1580">
        <f>Attach2A!E28</f>
        <v>0</v>
      </c>
      <c r="F33" s="1581" t="str">
        <f>IF($F$19="Yes",Attach2A!F28,"")</f>
        <v/>
      </c>
      <c r="G33" s="1581" t="str">
        <f>IF($I$20="Yes",Attach2A!G28,"")</f>
        <v/>
      </c>
      <c r="H33" s="1581" t="str">
        <f>IF($I$19="Yes",Attach2A!H28,"")</f>
        <v/>
      </c>
      <c r="I33" s="1571"/>
      <c r="J33" s="1571"/>
      <c r="K33" s="1571"/>
      <c r="L33" s="1777"/>
      <c r="M33" s="1158"/>
    </row>
    <row r="34" spans="1:13" hidden="1" x14ac:dyDescent="0.3">
      <c r="A34" s="1157"/>
      <c r="B34" s="1778"/>
      <c r="C34" s="1584" t="str">
        <f>Attach2A!C22</f>
        <v>Over</v>
      </c>
      <c r="D34" s="1579">
        <f>Attach2A!D29</f>
        <v>0</v>
      </c>
      <c r="E34" s="1580">
        <f>Attach2A!E29</f>
        <v>0</v>
      </c>
      <c r="F34" s="1581"/>
      <c r="G34" s="1581" t="str">
        <f>IF($I$20="Yes",Attach2A!G29,"")</f>
        <v/>
      </c>
      <c r="H34" s="1581"/>
      <c r="I34" s="1571"/>
      <c r="J34" s="1571"/>
      <c r="K34" s="1571"/>
      <c r="L34" s="1777"/>
      <c r="M34" s="1158"/>
    </row>
    <row r="35" spans="1:13" x14ac:dyDescent="0.3">
      <c r="A35" s="1157"/>
      <c r="B35" s="1778"/>
      <c r="C35" s="1571"/>
      <c r="D35" s="1571"/>
      <c r="E35" s="1571"/>
      <c r="F35" s="1571"/>
      <c r="G35" s="1571"/>
      <c r="H35" s="1571"/>
      <c r="I35" s="1571"/>
      <c r="J35" s="1571"/>
      <c r="K35" s="1571"/>
      <c r="L35" s="1777"/>
      <c r="M35" s="1158"/>
    </row>
    <row r="36" spans="1:13" ht="28.2" x14ac:dyDescent="0.3">
      <c r="A36" s="1157"/>
      <c r="B36" s="1778"/>
      <c r="C36" s="1571"/>
      <c r="D36" s="1567" t="s">
        <v>9</v>
      </c>
      <c r="E36" s="1585" t="s">
        <v>815</v>
      </c>
      <c r="F36" s="1567" t="s">
        <v>171</v>
      </c>
      <c r="G36" s="1586" t="s">
        <v>10</v>
      </c>
      <c r="H36" s="1587" t="s">
        <v>11</v>
      </c>
      <c r="I36" s="1586" t="s">
        <v>785</v>
      </c>
      <c r="J36" s="1588"/>
      <c r="K36" s="1571"/>
      <c r="L36" s="1777"/>
      <c r="M36" s="1158"/>
    </row>
    <row r="37" spans="1:13" x14ac:dyDescent="0.3">
      <c r="A37" s="1157"/>
      <c r="B37" s="1778"/>
      <c r="C37" s="1571"/>
      <c r="D37" s="1589" t="s">
        <v>173</v>
      </c>
      <c r="E37" s="1590" t="s">
        <v>173</v>
      </c>
      <c r="F37" s="1589" t="s">
        <v>173</v>
      </c>
      <c r="G37" s="1589" t="s">
        <v>173</v>
      </c>
      <c r="H37" s="1589" t="s">
        <v>173</v>
      </c>
      <c r="I37" s="1589" t="s">
        <v>173</v>
      </c>
      <c r="J37" s="1591" t="s">
        <v>172</v>
      </c>
      <c r="K37" s="1571"/>
      <c r="L37" s="1777"/>
      <c r="M37" s="1158"/>
    </row>
    <row r="38" spans="1:13" ht="15" thickBot="1" x14ac:dyDescent="0.35">
      <c r="A38" s="1157"/>
      <c r="B38" s="1778"/>
      <c r="C38" s="1571"/>
      <c r="D38" s="1592"/>
      <c r="E38" s="1592"/>
      <c r="F38" s="1592"/>
      <c r="G38" s="1592"/>
      <c r="H38" s="1592"/>
      <c r="I38" s="1592"/>
      <c r="J38" s="1592"/>
      <c r="K38" s="1571"/>
      <c r="L38" s="1777"/>
      <c r="M38" s="1158"/>
    </row>
    <row r="39" spans="1:13" x14ac:dyDescent="0.3">
      <c r="A39" s="1157"/>
      <c r="B39" s="1778"/>
      <c r="C39" s="1593" t="str">
        <f>"First "&amp;TEXT(D23,"###,###,###")</f>
        <v>First 10,000</v>
      </c>
      <c r="D39" s="1469">
        <v>23400</v>
      </c>
      <c r="E39" s="1469">
        <v>450</v>
      </c>
      <c r="F39" s="1469">
        <v>961</v>
      </c>
      <c r="G39" s="1469">
        <v>216</v>
      </c>
      <c r="H39" s="1469">
        <v>860</v>
      </c>
      <c r="I39" s="1478">
        <v>0</v>
      </c>
      <c r="J39" s="1611">
        <f>SUM(D39:H39)</f>
        <v>25887</v>
      </c>
      <c r="K39" s="1571"/>
      <c r="L39" s="1777"/>
      <c r="M39" s="1158"/>
    </row>
    <row r="40" spans="1:13" x14ac:dyDescent="0.3">
      <c r="A40" s="1157"/>
      <c r="B40" s="1778"/>
      <c r="C40" s="1595" t="str">
        <f>IF(Block2=0,"","Next "&amp;TEXT(D24,"###,###,###"))</f>
        <v>Next 56,700</v>
      </c>
      <c r="D40" s="1487">
        <v>680</v>
      </c>
      <c r="E40" s="1487">
        <v>850</v>
      </c>
      <c r="F40" s="1487">
        <v>231</v>
      </c>
      <c r="G40" s="1487">
        <v>717</v>
      </c>
      <c r="H40" s="1487">
        <v>635</v>
      </c>
      <c r="I40" s="1479">
        <v>0</v>
      </c>
      <c r="J40" s="1612">
        <f>SUM(D40:H40)</f>
        <v>3113</v>
      </c>
      <c r="K40" s="1571"/>
      <c r="L40" s="1777"/>
      <c r="M40" s="1158"/>
    </row>
    <row r="41" spans="1:13" x14ac:dyDescent="0.3">
      <c r="A41" s="1157"/>
      <c r="B41" s="1778"/>
      <c r="C41" s="1595" t="str">
        <f>IF(Block3=0,"","Next "&amp;TEXT(D25,"###,###,###"))</f>
        <v/>
      </c>
      <c r="D41" s="1173">
        <v>0</v>
      </c>
      <c r="E41" s="1173">
        <v>0</v>
      </c>
      <c r="F41" s="1173">
        <v>0</v>
      </c>
      <c r="G41" s="1173">
        <v>0</v>
      </c>
      <c r="H41" s="1173">
        <v>0</v>
      </c>
      <c r="I41" s="1479">
        <v>0</v>
      </c>
      <c r="J41" s="1612">
        <f>SUM(D41:H41)</f>
        <v>0</v>
      </c>
      <c r="K41" s="1571"/>
      <c r="L41" s="1777"/>
      <c r="M41" s="1158"/>
    </row>
    <row r="42" spans="1:13" x14ac:dyDescent="0.3">
      <c r="A42" s="1157"/>
      <c r="B42" s="1778"/>
      <c r="C42" s="1595" t="str">
        <f>IF(Block4=0,"","Next "&amp;TEXT(D26,"###,###,###"))</f>
        <v/>
      </c>
      <c r="D42" s="1173">
        <v>0</v>
      </c>
      <c r="E42" s="1173">
        <v>0</v>
      </c>
      <c r="F42" s="1173">
        <v>0</v>
      </c>
      <c r="G42" s="1173">
        <v>0</v>
      </c>
      <c r="H42" s="1173">
        <v>0</v>
      </c>
      <c r="I42" s="1479">
        <v>0</v>
      </c>
      <c r="J42" s="1612">
        <f>SUM(D42:H42)</f>
        <v>0</v>
      </c>
      <c r="K42" s="1571"/>
      <c r="L42" s="1777"/>
      <c r="M42" s="1158"/>
    </row>
    <row r="43" spans="1:13" ht="15" thickBot="1" x14ac:dyDescent="0.35">
      <c r="A43" s="1157"/>
      <c r="B43" s="1778"/>
      <c r="C43" s="1598" t="str">
        <f>"Over "&amp; TEXT(D27,"###,###,###")</f>
        <v>Over 66,700</v>
      </c>
      <c r="D43" s="1472">
        <v>0</v>
      </c>
      <c r="E43" s="1472">
        <v>117</v>
      </c>
      <c r="F43" s="1472">
        <v>0</v>
      </c>
      <c r="G43" s="1472">
        <v>1080</v>
      </c>
      <c r="H43" s="1472">
        <v>247</v>
      </c>
      <c r="I43" s="1480">
        <v>0</v>
      </c>
      <c r="J43" s="1613">
        <f>SUM(D43:H43)</f>
        <v>1444</v>
      </c>
      <c r="K43" s="1571"/>
      <c r="L43" s="1779"/>
      <c r="M43" s="1157"/>
    </row>
    <row r="44" spans="1:13" hidden="1" x14ac:dyDescent="0.3">
      <c r="A44" s="1157"/>
      <c r="B44" s="1778"/>
      <c r="C44" s="1599" t="str">
        <f>Attach2A!C39</f>
        <v/>
      </c>
      <c r="D44" s="1594">
        <v>0</v>
      </c>
      <c r="E44" s="1600">
        <v>0</v>
      </c>
      <c r="F44" s="1600">
        <v>0</v>
      </c>
      <c r="G44" s="1600">
        <v>0</v>
      </c>
      <c r="H44" s="1600">
        <v>0</v>
      </c>
      <c r="I44" s="1601">
        <v>0</v>
      </c>
      <c r="J44" s="1513">
        <f>SUM(E44:H44)</f>
        <v>0</v>
      </c>
      <c r="K44" s="1571"/>
      <c r="L44" s="1779"/>
      <c r="M44" s="1157"/>
    </row>
    <row r="45" spans="1:13" hidden="1" x14ac:dyDescent="0.3">
      <c r="A45" s="1157"/>
      <c r="B45" s="1778"/>
      <c r="C45" s="1602" t="str">
        <f>Attach2A!C40</f>
        <v/>
      </c>
      <c r="D45" s="1597">
        <v>0</v>
      </c>
      <c r="E45" s="1596">
        <v>0</v>
      </c>
      <c r="F45" s="1596">
        <v>0</v>
      </c>
      <c r="G45" s="1596">
        <v>0</v>
      </c>
      <c r="H45" s="1596">
        <v>0</v>
      </c>
      <c r="I45" s="1603">
        <v>0</v>
      </c>
      <c r="J45" s="1514">
        <f>SUM(E45:H45)</f>
        <v>0</v>
      </c>
      <c r="K45" s="1571"/>
      <c r="L45" s="1779"/>
      <c r="M45" s="1157"/>
    </row>
    <row r="46" spans="1:13" hidden="1" x14ac:dyDescent="0.3">
      <c r="A46" s="1157"/>
      <c r="B46" s="1778"/>
      <c r="C46" s="2233" t="str">
        <f>Attach2A!C34</f>
        <v>First 10,000</v>
      </c>
      <c r="D46" s="1596">
        <v>0</v>
      </c>
      <c r="E46" s="1596">
        <v>0</v>
      </c>
      <c r="F46" s="1596">
        <v>0</v>
      </c>
      <c r="G46" s="1596">
        <v>0</v>
      </c>
      <c r="H46" s="1596">
        <v>0</v>
      </c>
      <c r="I46" s="1603">
        <v>0</v>
      </c>
      <c r="J46" s="1514">
        <f>SUM(E46:H46)</f>
        <v>0</v>
      </c>
      <c r="K46" s="1571"/>
      <c r="L46" s="1779"/>
      <c r="M46" s="1157"/>
    </row>
    <row r="47" spans="1:13" hidden="1" x14ac:dyDescent="0.3">
      <c r="A47" s="1157"/>
      <c r="B47" s="1778"/>
      <c r="C47" s="1602" t="str">
        <f>Attach2A!C35</f>
        <v>Next 56,700</v>
      </c>
      <c r="D47" s="1596">
        <v>0</v>
      </c>
      <c r="E47" s="1596">
        <v>0</v>
      </c>
      <c r="F47" s="1596">
        <v>0</v>
      </c>
      <c r="G47" s="1596">
        <v>0</v>
      </c>
      <c r="H47" s="1596">
        <v>0</v>
      </c>
      <c r="I47" s="1603">
        <v>0</v>
      </c>
      <c r="J47" s="1514">
        <f>SUM(E47:H47)</f>
        <v>0</v>
      </c>
      <c r="K47" s="1571"/>
      <c r="L47" s="1779"/>
      <c r="M47" s="1157"/>
    </row>
    <row r="48" spans="1:13" ht="15" hidden="1" thickBot="1" x14ac:dyDescent="0.35">
      <c r="A48" s="1157"/>
      <c r="B48" s="1778"/>
      <c r="C48" s="1602" t="str">
        <f>Attach2A!C36</f>
        <v/>
      </c>
      <c r="D48" s="1605">
        <v>0</v>
      </c>
      <c r="E48" s="1605">
        <v>0</v>
      </c>
      <c r="F48" s="1605">
        <v>0</v>
      </c>
      <c r="G48" s="1605">
        <v>0</v>
      </c>
      <c r="H48" s="1605">
        <v>0</v>
      </c>
      <c r="I48" s="1606">
        <v>0</v>
      </c>
      <c r="J48" s="1515">
        <f>SUM(E48:H48)</f>
        <v>0</v>
      </c>
      <c r="K48" s="1571"/>
      <c r="L48" s="1779"/>
      <c r="M48" s="1157"/>
    </row>
    <row r="49" spans="1:13" ht="15" hidden="1" thickBot="1" x14ac:dyDescent="0.35">
      <c r="A49" s="1157"/>
      <c r="B49" s="1778"/>
      <c r="C49" s="1602" t="str">
        <f>Attach2A!C37</f>
        <v/>
      </c>
      <c r="D49" s="2232">
        <v>0</v>
      </c>
      <c r="E49" s="1607">
        <v>0</v>
      </c>
      <c r="F49" s="1607">
        <v>0</v>
      </c>
      <c r="G49" s="1607">
        <v>0</v>
      </c>
      <c r="H49" s="1607">
        <v>0</v>
      </c>
      <c r="I49" s="1608">
        <v>0</v>
      </c>
      <c r="J49" s="1516">
        <f>SUM(D49:I49)</f>
        <v>0</v>
      </c>
      <c r="K49" s="1571"/>
      <c r="L49" s="1779"/>
      <c r="M49" s="1157"/>
    </row>
    <row r="50" spans="1:13" ht="15" hidden="1" thickBot="1" x14ac:dyDescent="0.35">
      <c r="A50" s="1157"/>
      <c r="B50" s="1778"/>
      <c r="C50" s="1604" t="str">
        <f>Attach2A!C38</f>
        <v>Over 66,700</v>
      </c>
      <c r="D50" s="1607">
        <v>0</v>
      </c>
      <c r="E50" s="1607">
        <v>0</v>
      </c>
      <c r="F50" s="1607">
        <v>0</v>
      </c>
      <c r="G50" s="1607">
        <v>0</v>
      </c>
      <c r="H50" s="1607">
        <v>0</v>
      </c>
      <c r="I50" s="1607">
        <v>0</v>
      </c>
      <c r="J50" s="1516">
        <f>I50</f>
        <v>0</v>
      </c>
      <c r="K50" s="1571"/>
      <c r="L50" s="1779"/>
      <c r="M50" s="1157"/>
    </row>
    <row r="51" spans="1:13" ht="15" thickBot="1" x14ac:dyDescent="0.35">
      <c r="A51" s="1157"/>
      <c r="B51" s="1780"/>
      <c r="C51" s="1572"/>
      <c r="D51" s="1511"/>
      <c r="E51" s="1511"/>
      <c r="F51" s="1511"/>
      <c r="G51" s="1511"/>
      <c r="H51" s="1511"/>
      <c r="I51" s="1511"/>
      <c r="J51" s="1511"/>
      <c r="K51" s="1572"/>
      <c r="L51" s="1779"/>
      <c r="M51" s="1157"/>
    </row>
    <row r="52" spans="1:13" x14ac:dyDescent="0.3">
      <c r="A52" s="1157"/>
      <c r="B52" s="1780"/>
      <c r="C52" s="1609" t="s">
        <v>838</v>
      </c>
      <c r="D52" s="1507">
        <f>SUM(D39:D49)</f>
        <v>24080</v>
      </c>
      <c r="E52" s="1508">
        <f>SUM(E39:E49)</f>
        <v>1417</v>
      </c>
      <c r="F52" s="1508">
        <f>SUM(F39:F49)</f>
        <v>1192</v>
      </c>
      <c r="G52" s="1508">
        <f>SUM(G39:G49)</f>
        <v>2013</v>
      </c>
      <c r="H52" s="1508">
        <f>SUM(H39:H49)</f>
        <v>1742</v>
      </c>
      <c r="I52" s="1508">
        <f>SUM(I39:I50)</f>
        <v>0</v>
      </c>
      <c r="J52" s="1513">
        <f>SUM(J39:J50)</f>
        <v>30444</v>
      </c>
      <c r="K52" s="1572"/>
      <c r="L52" s="1779"/>
      <c r="M52" s="1157"/>
    </row>
    <row r="53" spans="1:13" ht="15" thickBot="1" x14ac:dyDescent="0.35">
      <c r="A53" s="1157"/>
      <c r="B53" s="1780"/>
      <c r="C53" s="1609" t="s">
        <v>839</v>
      </c>
      <c r="D53" s="1509">
        <f>SUM(PRODUCT(D39,$E$23),PRODUCT(D40,$E$24),PRODUCT(D41,$E$25),PRODUCT(D42,$E$26),PRODUCT(D43,$E$27),PRODUCT(D44,$E$28),PRODUCT(D45,$E$29),PRODUCT(D46,$E$30),PRODUCT(D47,$E$31),PRODUCT(D48,$E$32),PRODUCT(D49,$E$33))</f>
        <v>124375.6</v>
      </c>
      <c r="E53" s="1510">
        <f>IF(I19="Yes",SUM(PRODUCT(E39,$H$23),PRODUCT(E40,$H$24),PRODUCT(E41,$H$25),PRODUCT(E42,$H$26),PRODUCT(E43,$H$27),PRODUCT(E44,$H$28),PRODUCT(E45,$H$29),PRODUCT(E46,$H$30),PRODUCT(E47,$H$31),PRODUCT(E48,$H$32),PRODUCT(E49,$H$33)),SUM(PRODUCT(E39,$E$23),PRODUCT(E40,$E$24),PRODUCT(E41,$E$25),PRODUCT(E42,$E$26),PRODUCT(E43,$E$27)))</f>
        <v>5766.65</v>
      </c>
      <c r="F53" s="1510">
        <f>IF(F19="Yes",SUM(PRODUCT(F39,$F$23),PRODUCT(F40,$F$24),PRODUCT(F41,$F$25),PRODUCT(F42,$F$26),PRODUCT(F43,$F$27),PRODUCT(F44,$F$28),PRODUCT(F45,$F$29),PRODUCT(F46,$F$30),PRODUCT(F47,$F$31),PRODUCT(F48,$F$32),PRODUCT(F49,$F$33)),SUM(PRODUCT(F39,$E$23),PRODUCT(F40,$E$24),PRODUCT(F41,$E$25),PRODUCT(F42,$E$26),PRODUCT(F43,$E$27)))</f>
        <v>5843.0300000000007</v>
      </c>
      <c r="G53" s="1510">
        <f>IF(F19="Yes",SUM(PRODUCT(G39,$F$23),PRODUCT(G40,$F$24),PRODUCT(G41,$F$25),PRODUCT(G42,$F$26),PRODUCT(G43,$F$27),PRODUCT(G44,$F$28),PRODUCT(G45,$F$29),PRODUCT(G46,$F$30),PRODUCT(G47,$F$31),PRODUCT(G48,$F$32),PRODUCT(G49,$F$33)),SUM(PRODUCT(G39,$E$23),PRODUCT(G40,$E$24),PRODUCT(G41,$E$25),PRODUCT(G42,$E$26),PRODUCT(G43,$E$27)))</f>
        <v>6906.9</v>
      </c>
      <c r="H53" s="1510">
        <f>IF(F19="Yes",SUM(PRODUCT(H39,$F$23),PRODUCT(H40,$F$24),PRODUCT(H41,$F$25),PRODUCT(H42,$F$26),PRODUCT(H43,$F$27),PRODUCT(H44,$F$28),PRODUCT(H45,$F$29),PRODUCT(H46,$F$30),PRODUCT(H47,$F$31),PRODUCT(H48,$F$32),PRODUCT(H49,$F$33)),SUM(PRODUCT(H39,$E$23),PRODUCT(H40,$E$24),PRODUCT(H41,$E$25),PRODUCT(H42,$E$26),PRODUCT(H43,$E$27)))</f>
        <v>7507.9500000000007</v>
      </c>
      <c r="I53" s="1510">
        <f>IF(I20="Yes",SUM(PRODUCT(I39,$G$23),PRODUCT(I40,$G$24),PRODUCT(I41,$G$25),PRODUCT(I42,$G$26),PRODUCT(I43,$G$27),PRODUCT(I44,$G$28),PRODUCT(I45,$G$29),PRODUCT(I46,$G$30),PRODUCT(I47,$G$31),PRODUCT(I48,$G$32),PRODUCT(I49,$G$33),PRODUCT(I50,$G$34)),SUM(PRODUCT(I39,$E$23),PRODUCT(I40,$E$24),PRODUCT(I41,$E$25),PRODUCT(I42,$E$26),PRODUCT(I43,$E$27)))</f>
        <v>0</v>
      </c>
      <c r="J53" s="1517">
        <f>SUM(D53:I53)</f>
        <v>150400.13</v>
      </c>
      <c r="K53" s="1572"/>
      <c r="L53" s="1779"/>
      <c r="M53" s="1157"/>
    </row>
    <row r="54" spans="1:13" x14ac:dyDescent="0.3">
      <c r="A54" s="1157"/>
      <c r="B54" s="1780"/>
      <c r="C54" s="1572"/>
      <c r="D54" s="1572"/>
      <c r="E54" s="1572"/>
      <c r="F54" s="1572"/>
      <c r="G54" s="1572"/>
      <c r="H54" s="1572"/>
      <c r="I54" s="1572"/>
      <c r="J54" s="1572"/>
      <c r="K54" s="1572"/>
      <c r="L54" s="1779"/>
      <c r="M54" s="1157"/>
    </row>
    <row r="55" spans="1:13" x14ac:dyDescent="0.3">
      <c r="A55" s="1157"/>
      <c r="B55" s="2389" t="s">
        <v>1232</v>
      </c>
      <c r="C55" s="2390"/>
      <c r="D55" s="2390"/>
      <c r="E55" s="2390"/>
      <c r="F55" s="2390"/>
      <c r="G55" s="2390"/>
      <c r="H55" s="2390"/>
      <c r="I55" s="2390"/>
      <c r="J55" s="2390"/>
      <c r="K55" s="2390"/>
      <c r="L55" s="2391"/>
      <c r="M55" s="1157"/>
    </row>
    <row r="56" spans="1:13" x14ac:dyDescent="0.3">
      <c r="A56" s="1157"/>
      <c r="B56" s="2389"/>
      <c r="C56" s="2390"/>
      <c r="D56" s="2390"/>
      <c r="E56" s="2390"/>
      <c r="F56" s="2390"/>
      <c r="G56" s="2390"/>
      <c r="H56" s="2390"/>
      <c r="I56" s="2390"/>
      <c r="J56" s="2390"/>
      <c r="K56" s="2390"/>
      <c r="L56" s="2391"/>
      <c r="M56" s="1157"/>
    </row>
    <row r="57" spans="1:13" x14ac:dyDescent="0.3">
      <c r="A57" s="1157"/>
      <c r="B57" s="1780"/>
      <c r="C57" s="2379"/>
      <c r="D57" s="2380"/>
      <c r="E57" s="2380"/>
      <c r="F57" s="2380"/>
      <c r="G57" s="2380"/>
      <c r="H57" s="2380"/>
      <c r="I57" s="2380"/>
      <c r="J57" s="2380"/>
      <c r="K57" s="2381"/>
      <c r="L57" s="1779"/>
      <c r="M57" s="1157"/>
    </row>
    <row r="58" spans="1:13" x14ac:dyDescent="0.3">
      <c r="A58" s="1157"/>
      <c r="B58" s="1780"/>
      <c r="C58" s="2382"/>
      <c r="D58" s="2383"/>
      <c r="E58" s="2383"/>
      <c r="F58" s="2383"/>
      <c r="G58" s="2383"/>
      <c r="H58" s="2383"/>
      <c r="I58" s="2383"/>
      <c r="J58" s="2383"/>
      <c r="K58" s="2384"/>
      <c r="L58" s="1779"/>
      <c r="M58" s="1157"/>
    </row>
    <row r="59" spans="1:13" x14ac:dyDescent="0.3">
      <c r="A59" s="1157"/>
      <c r="B59" s="1780"/>
      <c r="C59" s="2382"/>
      <c r="D59" s="2383"/>
      <c r="E59" s="2383"/>
      <c r="F59" s="2383"/>
      <c r="G59" s="2383"/>
      <c r="H59" s="2383"/>
      <c r="I59" s="2383"/>
      <c r="J59" s="2383"/>
      <c r="K59" s="2384"/>
      <c r="L59" s="1779"/>
      <c r="M59" s="1157"/>
    </row>
    <row r="60" spans="1:13" x14ac:dyDescent="0.3">
      <c r="A60" s="1157"/>
      <c r="B60" s="1780"/>
      <c r="C60" s="2382"/>
      <c r="D60" s="2383"/>
      <c r="E60" s="2383"/>
      <c r="F60" s="2383"/>
      <c r="G60" s="2383"/>
      <c r="H60" s="2383"/>
      <c r="I60" s="2383"/>
      <c r="J60" s="2383"/>
      <c r="K60" s="2384"/>
      <c r="L60" s="1779"/>
      <c r="M60" s="1157"/>
    </row>
    <row r="61" spans="1:13" x14ac:dyDescent="0.3">
      <c r="A61" s="1157"/>
      <c r="B61" s="1780"/>
      <c r="C61" s="2382"/>
      <c r="D61" s="2383"/>
      <c r="E61" s="2383"/>
      <c r="F61" s="2383"/>
      <c r="G61" s="2383"/>
      <c r="H61" s="2383"/>
      <c r="I61" s="2383"/>
      <c r="J61" s="2383"/>
      <c r="K61" s="2384"/>
      <c r="L61" s="1779"/>
      <c r="M61" s="1157"/>
    </row>
    <row r="62" spans="1:13" x14ac:dyDescent="0.3">
      <c r="A62" s="1157"/>
      <c r="B62" s="1780"/>
      <c r="C62" s="2382"/>
      <c r="D62" s="2383"/>
      <c r="E62" s="2383"/>
      <c r="F62" s="2383"/>
      <c r="G62" s="2383"/>
      <c r="H62" s="2383"/>
      <c r="I62" s="2383"/>
      <c r="J62" s="2383"/>
      <c r="K62" s="2384"/>
      <c r="L62" s="1779"/>
      <c r="M62" s="1157"/>
    </row>
    <row r="63" spans="1:13" x14ac:dyDescent="0.3">
      <c r="A63" s="1157"/>
      <c r="B63" s="1780"/>
      <c r="C63" s="2382"/>
      <c r="D63" s="2383"/>
      <c r="E63" s="2383"/>
      <c r="F63" s="2383"/>
      <c r="G63" s="2383"/>
      <c r="H63" s="2383"/>
      <c r="I63" s="2383"/>
      <c r="J63" s="2383"/>
      <c r="K63" s="2384"/>
      <c r="L63" s="1779"/>
      <c r="M63" s="1157"/>
    </row>
    <row r="64" spans="1:13" x14ac:dyDescent="0.3">
      <c r="A64" s="1157"/>
      <c r="B64" s="1780"/>
      <c r="C64" s="2382"/>
      <c r="D64" s="2383"/>
      <c r="E64" s="2383"/>
      <c r="F64" s="2383"/>
      <c r="G64" s="2383"/>
      <c r="H64" s="2383"/>
      <c r="I64" s="2383"/>
      <c r="J64" s="2383"/>
      <c r="K64" s="2384"/>
      <c r="L64" s="1779"/>
      <c r="M64" s="1157"/>
    </row>
    <row r="65" spans="1:13" x14ac:dyDescent="0.3">
      <c r="A65" s="1157"/>
      <c r="B65" s="1780"/>
      <c r="C65" s="2382"/>
      <c r="D65" s="2383"/>
      <c r="E65" s="2383"/>
      <c r="F65" s="2383"/>
      <c r="G65" s="2383"/>
      <c r="H65" s="2383"/>
      <c r="I65" s="2383"/>
      <c r="J65" s="2383"/>
      <c r="K65" s="2384"/>
      <c r="L65" s="1779"/>
      <c r="M65" s="1157"/>
    </row>
    <row r="66" spans="1:13" x14ac:dyDescent="0.3">
      <c r="A66" s="1157"/>
      <c r="B66" s="1780"/>
      <c r="C66" s="2382"/>
      <c r="D66" s="2383"/>
      <c r="E66" s="2383"/>
      <c r="F66" s="2383"/>
      <c r="G66" s="2383"/>
      <c r="H66" s="2383"/>
      <c r="I66" s="2383"/>
      <c r="J66" s="2383"/>
      <c r="K66" s="2384"/>
      <c r="L66" s="1779"/>
      <c r="M66" s="1157"/>
    </row>
    <row r="67" spans="1:13" x14ac:dyDescent="0.3">
      <c r="A67" s="1157"/>
      <c r="B67" s="1780"/>
      <c r="C67" s="2385"/>
      <c r="D67" s="2386"/>
      <c r="E67" s="2386"/>
      <c r="F67" s="2386"/>
      <c r="G67" s="2386"/>
      <c r="H67" s="2386"/>
      <c r="I67" s="2386"/>
      <c r="J67" s="2386"/>
      <c r="K67" s="2387"/>
      <c r="L67" s="1779"/>
      <c r="M67" s="1157"/>
    </row>
    <row r="68" spans="1:13" x14ac:dyDescent="0.3">
      <c r="A68" s="1157"/>
      <c r="B68" s="1781"/>
      <c r="C68" s="1782"/>
      <c r="D68" s="1782"/>
      <c r="E68" s="1782"/>
      <c r="F68" s="1782"/>
      <c r="G68" s="1782"/>
      <c r="H68" s="1782"/>
      <c r="I68" s="1782"/>
      <c r="J68" s="1782"/>
      <c r="K68" s="1782"/>
      <c r="L68" s="1783"/>
      <c r="M68" s="1157"/>
    </row>
    <row r="69" spans="1:13" x14ac:dyDescent="0.3">
      <c r="A69" s="1157"/>
      <c r="B69" s="1157"/>
      <c r="C69" s="1157"/>
      <c r="D69" s="1157"/>
      <c r="E69" s="1157"/>
      <c r="F69" s="1157"/>
      <c r="G69" s="1157"/>
      <c r="H69" s="1157"/>
      <c r="I69" s="1157"/>
      <c r="J69" s="1157"/>
      <c r="K69" s="1157"/>
      <c r="L69" s="1157"/>
      <c r="M69" s="1157"/>
    </row>
    <row r="70" spans="1:13" x14ac:dyDescent="0.3">
      <c r="A70" s="1157"/>
      <c r="B70" s="1157"/>
      <c r="C70" s="1157"/>
      <c r="D70" s="1157"/>
      <c r="E70" s="1157"/>
      <c r="F70" s="1157"/>
      <c r="G70" s="1157"/>
      <c r="H70" s="1157"/>
      <c r="I70" s="1157"/>
      <c r="J70" s="1157"/>
      <c r="K70" s="1157"/>
      <c r="L70" s="1157"/>
      <c r="M70" s="1157"/>
    </row>
    <row r="71" spans="1:13" s="1747" customFormat="1" x14ac:dyDescent="0.3"/>
    <row r="72" spans="1:13" s="1747" customFormat="1" x14ac:dyDescent="0.3"/>
    <row r="73" spans="1:13" s="1747" customFormat="1" x14ac:dyDescent="0.3"/>
    <row r="74" spans="1:13" s="1747" customFormat="1" x14ac:dyDescent="0.3"/>
    <row r="75" spans="1:13" s="1747" customFormat="1" x14ac:dyDescent="0.3"/>
    <row r="76" spans="1:13" s="1747" customFormat="1" x14ac:dyDescent="0.3"/>
    <row r="77" spans="1:13" s="1747" customFormat="1" x14ac:dyDescent="0.3"/>
    <row r="78" spans="1:13" s="1747" customFormat="1" x14ac:dyDescent="0.3"/>
    <row r="79" spans="1:13" s="1747" customFormat="1" x14ac:dyDescent="0.3"/>
    <row r="80" spans="1:13" s="1747" customFormat="1" x14ac:dyDescent="0.3"/>
    <row r="81" s="1747" customFormat="1" x14ac:dyDescent="0.3"/>
    <row r="82" s="1747" customFormat="1" x14ac:dyDescent="0.3"/>
    <row r="83" s="1747" customFormat="1" x14ac:dyDescent="0.3"/>
    <row r="84" s="1747" customFormat="1" x14ac:dyDescent="0.3"/>
    <row r="85" s="1747" customFormat="1" x14ac:dyDescent="0.3"/>
    <row r="86" s="1747" customFormat="1" x14ac:dyDescent="0.3"/>
    <row r="87" s="1747" customFormat="1" x14ac:dyDescent="0.3"/>
    <row r="88" s="1747" customFormat="1" x14ac:dyDescent="0.3"/>
    <row r="89" s="1747" customFormat="1" x14ac:dyDescent="0.3"/>
  </sheetData>
  <sheetProtection password="E593" sheet="1" objects="1" scenarios="1"/>
  <customSheetViews>
    <customSheetView guid="{B63065A1-7838-417A-8679-08A8A2B79CD8}" scale="86" showPageBreaks="1" showGridLines="0" fitToPage="1" printArea="1" topLeftCell="A7">
      <selection activeCell="I3" sqref="I3"/>
      <pageMargins left="0.7" right="0.7" top="0.75" bottom="0.75" header="0.3" footer="0.3"/>
      <pageSetup scale="69" orientation="landscape" blackAndWhite="1" r:id="rId1"/>
    </customSheetView>
  </customSheetViews>
  <mergeCells count="6">
    <mergeCell ref="D5:J5"/>
    <mergeCell ref="D4:J4"/>
    <mergeCell ref="D3:J3"/>
    <mergeCell ref="C57:K67"/>
    <mergeCell ref="J12:K12"/>
    <mergeCell ref="B55:L56"/>
  </mergeCells>
  <conditionalFormatting sqref="F19">
    <cfRule type="expression" dxfId="38" priority="22" stopIfTrue="1">
      <formula>$G$14="Yes"</formula>
    </cfRule>
  </conditionalFormatting>
  <conditionalFormatting sqref="I20">
    <cfRule type="expression" dxfId="37" priority="19" stopIfTrue="1">
      <formula>$G$14="Yes"</formula>
    </cfRule>
  </conditionalFormatting>
  <conditionalFormatting sqref="I19">
    <cfRule type="expression" dxfId="36" priority="18" stopIfTrue="1">
      <formula>$G$14="Yes"</formula>
    </cfRule>
  </conditionalFormatting>
  <conditionalFormatting sqref="G23:G34">
    <cfRule type="expression" dxfId="35" priority="14" stopIfTrue="1">
      <formula>$I$20="Yes"</formula>
    </cfRule>
    <cfRule type="expression" dxfId="34" priority="15" stopIfTrue="1">
      <formula>$I$19="Yes"</formula>
    </cfRule>
  </conditionalFormatting>
  <conditionalFormatting sqref="H23:H33">
    <cfRule type="expression" dxfId="33" priority="13" stopIfTrue="1">
      <formula>$I$19="Yes"</formula>
    </cfRule>
  </conditionalFormatting>
  <conditionalFormatting sqref="F23:F33">
    <cfRule type="expression" dxfId="32" priority="12" stopIfTrue="1">
      <formula>$F$19="Yes"</formula>
    </cfRule>
  </conditionalFormatting>
  <conditionalFormatting sqref="D40:H40">
    <cfRule type="expression" dxfId="31" priority="11" stopIfTrue="1">
      <formula>$D$24=0</formula>
    </cfRule>
  </conditionalFormatting>
  <conditionalFormatting sqref="D41:H41">
    <cfRule type="expression" dxfId="30" priority="10" stopIfTrue="1">
      <formula>$D$25=0</formula>
    </cfRule>
  </conditionalFormatting>
  <conditionalFormatting sqref="D42:H42">
    <cfRule type="expression" dxfId="29" priority="9" stopIfTrue="1">
      <formula>$D$26=0</formula>
    </cfRule>
  </conditionalFormatting>
  <conditionalFormatting sqref="E44:H44">
    <cfRule type="expression" dxfId="28" priority="8" stopIfTrue="1">
      <formula>$D$28=0</formula>
    </cfRule>
  </conditionalFormatting>
  <conditionalFormatting sqref="E45:H45">
    <cfRule type="expression" dxfId="27" priority="7" stopIfTrue="1">
      <formula>$D$29=0</formula>
    </cfRule>
  </conditionalFormatting>
  <conditionalFormatting sqref="D47:H47">
    <cfRule type="expression" dxfId="26" priority="5" stopIfTrue="1">
      <formula>$D$31=0</formula>
    </cfRule>
  </conditionalFormatting>
  <conditionalFormatting sqref="D48:H48">
    <cfRule type="expression" dxfId="25" priority="4" stopIfTrue="1">
      <formula>$D$32=0</formula>
    </cfRule>
  </conditionalFormatting>
  <conditionalFormatting sqref="D49:H49">
    <cfRule type="expression" dxfId="24" priority="3" stopIfTrue="1">
      <formula>$D$33=0</formula>
    </cfRule>
  </conditionalFormatting>
  <conditionalFormatting sqref="I50">
    <cfRule type="expression" dxfId="23" priority="2" stopIfTrue="1">
      <formula>$D$34=0</formula>
    </cfRule>
  </conditionalFormatting>
  <conditionalFormatting sqref="F39:H43">
    <cfRule type="expression" dxfId="22" priority="1" stopIfTrue="1">
      <formula>$G$14="Yes"</formula>
    </cfRule>
  </conditionalFormatting>
  <dataValidations count="1">
    <dataValidation allowBlank="1" showInputMessage="1" showErrorMessage="1" prompt="Enter mm/dd/yyyy" sqref="J12:J13"/>
  </dataValidations>
  <pageMargins left="0.7" right="0.7" top="0.75" bottom="0.75" header="0.3" footer="0.3"/>
  <pageSetup scale="51" fitToHeight="0"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137217" r:id="rId5" name="Button 1">
              <controlPr defaultSize="0" print="0" autoFill="0" autoPict="0" macro="[0]!BackMain">
                <anchor moveWithCells="1" sizeWithCells="1">
                  <from>
                    <xdr:col>1</xdr:col>
                    <xdr:colOff>7620</xdr:colOff>
                    <xdr:row>0</xdr:row>
                    <xdr:rowOff>53340</xdr:rowOff>
                  </from>
                  <to>
                    <xdr:col>2</xdr:col>
                    <xdr:colOff>251460</xdr:colOff>
                    <xdr:row>1</xdr:row>
                    <xdr:rowOff>251460</xdr:rowOff>
                  </to>
                </anchor>
              </controlPr>
            </control>
          </mc:Choice>
        </mc:AlternateContent>
        <mc:AlternateContent xmlns:mc="http://schemas.openxmlformats.org/markup-compatibility/2006">
          <mc:Choice Requires="x14">
            <control shapeId="137218" r:id="rId6" name="Button 2">
              <controlPr defaultSize="0" print="0" autoFill="0" autoPict="0" macro="[0]!PrintAttach3A">
                <anchor moveWithCells="1" sizeWithCells="1">
                  <from>
                    <xdr:col>9</xdr:col>
                    <xdr:colOff>1219200</xdr:colOff>
                    <xdr:row>0</xdr:row>
                    <xdr:rowOff>91440</xdr:rowOff>
                  </from>
                  <to>
                    <xdr:col>12</xdr:col>
                    <xdr:colOff>7620</xdr:colOff>
                    <xdr:row>1</xdr:row>
                    <xdr:rowOff>289560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CW248"/>
  <sheetViews>
    <sheetView showGridLines="0" zoomScaleNormal="100" workbookViewId="0">
      <selection activeCell="G18" sqref="G18"/>
    </sheetView>
  </sheetViews>
  <sheetFormatPr defaultRowHeight="13.2" x14ac:dyDescent="0.25"/>
  <cols>
    <col min="1" max="1" width="11.33203125" style="28" customWidth="1"/>
    <col min="2" max="2" width="3.44140625" style="28" customWidth="1"/>
    <col min="3" max="3" width="4.33203125" style="28" customWidth="1"/>
    <col min="4" max="4" width="11.6640625" style="28" customWidth="1"/>
    <col min="5" max="5" width="10.44140625" style="28" customWidth="1"/>
    <col min="6" max="6" width="5.44140625" style="28" customWidth="1"/>
    <col min="7" max="13" width="13.6640625" style="28" customWidth="1"/>
    <col min="14" max="14" width="11.5546875" style="28" customWidth="1"/>
    <col min="15" max="15" width="12.109375" style="28" customWidth="1"/>
    <col min="16" max="16" width="17.88671875" style="57" customWidth="1"/>
    <col min="17" max="17" width="12.109375" style="57" customWidth="1"/>
    <col min="18" max="18" width="17.88671875" style="57" customWidth="1"/>
    <col min="19" max="19" width="12.109375" style="57" customWidth="1"/>
    <col min="20" max="20" width="17.88671875" style="28" customWidth="1"/>
    <col min="21" max="16384" width="8.88671875" style="28"/>
  </cols>
  <sheetData>
    <row r="1" spans="1:101" ht="36.450000000000003" customHeight="1" x14ac:dyDescent="0.25">
      <c r="A1" s="78"/>
      <c r="B1" s="81"/>
      <c r="C1" s="176"/>
      <c r="D1" s="79"/>
      <c r="E1" s="78"/>
      <c r="F1" s="78"/>
      <c r="G1" s="78"/>
      <c r="H1" s="78"/>
      <c r="I1" s="78"/>
      <c r="J1" s="78"/>
      <c r="K1" s="78"/>
      <c r="L1" s="78"/>
      <c r="M1" s="78"/>
      <c r="N1" s="1796"/>
      <c r="O1" s="78"/>
      <c r="CU1" s="29"/>
      <c r="CV1" s="29"/>
      <c r="CW1" s="29"/>
    </row>
    <row r="2" spans="1:101" ht="6.45" customHeight="1" x14ac:dyDescent="0.25">
      <c r="A2" s="78"/>
      <c r="B2" s="78"/>
      <c r="C2" s="78"/>
      <c r="D2" s="177"/>
      <c r="E2" s="78"/>
      <c r="F2" s="218"/>
      <c r="G2" s="219"/>
      <c r="H2" s="219"/>
      <c r="I2" s="223"/>
      <c r="J2" s="219"/>
      <c r="K2" s="219"/>
      <c r="L2" s="219"/>
      <c r="M2" s="219"/>
      <c r="N2" s="219"/>
      <c r="O2" s="220"/>
      <c r="P2" s="1100"/>
      <c r="Q2" s="1100"/>
      <c r="R2" s="1100"/>
      <c r="S2" s="1100"/>
      <c r="CU2" s="29"/>
      <c r="CV2" s="71">
        <f>IF(Attach1!C8="100 Cubic Feet (CCF)",1, 2)</f>
        <v>2</v>
      </c>
      <c r="CW2" s="29"/>
    </row>
    <row r="3" spans="1:101" ht="20.7" customHeight="1" x14ac:dyDescent="0.25">
      <c r="A3" s="78"/>
      <c r="B3" s="78"/>
      <c r="C3" s="78"/>
      <c r="D3" s="78"/>
      <c r="E3" s="78"/>
      <c r="F3" s="78"/>
      <c r="G3" s="78"/>
      <c r="H3" s="78"/>
      <c r="I3" s="2062" t="str">
        <f>Utility</f>
        <v>Cleveland Water Utility</v>
      </c>
      <c r="J3" s="78"/>
      <c r="K3" s="78"/>
      <c r="L3" s="78"/>
      <c r="M3" s="78"/>
      <c r="N3" s="78"/>
      <c r="O3" s="78"/>
      <c r="CU3" s="29"/>
      <c r="CV3" s="29"/>
      <c r="CW3" s="29"/>
    </row>
    <row r="4" spans="1:101" ht="15.9" customHeight="1" x14ac:dyDescent="0.25">
      <c r="A4" s="78"/>
      <c r="B4" s="78"/>
      <c r="C4" s="78"/>
      <c r="D4" s="78"/>
      <c r="E4" s="78"/>
      <c r="F4" s="221"/>
      <c r="G4" s="80"/>
      <c r="H4" s="80"/>
      <c r="I4" s="2044" t="s">
        <v>169</v>
      </c>
      <c r="J4" s="80"/>
      <c r="K4" s="80"/>
      <c r="L4" s="80"/>
      <c r="M4" s="80"/>
      <c r="N4" s="80"/>
      <c r="O4" s="222"/>
      <c r="P4" s="1101"/>
      <c r="Q4" s="1101"/>
      <c r="R4" s="1101"/>
      <c r="S4" s="1101"/>
    </row>
    <row r="5" spans="1:101" ht="16.2" customHeight="1" thickBot="1" x14ac:dyDescent="0.3">
      <c r="A5" s="78"/>
      <c r="B5" s="2052" t="str">
        <f>TestYear &amp; " Test Year"</f>
        <v>2023 Test Year</v>
      </c>
      <c r="C5" s="78"/>
      <c r="D5" s="78"/>
      <c r="E5" s="78"/>
      <c r="F5" s="221"/>
      <c r="G5" s="80"/>
      <c r="H5" s="78"/>
      <c r="I5" s="2069" t="s">
        <v>843</v>
      </c>
      <c r="J5" s="80"/>
      <c r="K5" s="80"/>
      <c r="L5" s="80"/>
      <c r="M5" s="80"/>
      <c r="N5" s="2071" t="s">
        <v>955</v>
      </c>
      <c r="O5" s="222"/>
      <c r="P5" s="1101"/>
      <c r="Q5" s="1101"/>
      <c r="R5" s="1101"/>
      <c r="S5" s="1101"/>
    </row>
    <row r="6" spans="1:101" ht="13.8" thickTop="1" x14ac:dyDescent="0.25">
      <c r="A6" s="78"/>
      <c r="B6" s="237"/>
      <c r="C6" s="238"/>
      <c r="D6" s="2072" t="s">
        <v>1263</v>
      </c>
      <c r="E6" s="238"/>
      <c r="F6" s="238"/>
      <c r="G6" s="238"/>
      <c r="H6" s="238"/>
      <c r="I6" s="238"/>
      <c r="J6" s="238"/>
      <c r="K6" s="238"/>
      <c r="L6" s="238"/>
      <c r="M6" s="238"/>
      <c r="N6" s="239"/>
      <c r="O6" s="78"/>
    </row>
    <row r="7" spans="1:101" x14ac:dyDescent="0.25">
      <c r="A7" s="78"/>
      <c r="B7" s="259"/>
      <c r="C7" s="258"/>
      <c r="D7" s="2073" t="s">
        <v>1264</v>
      </c>
      <c r="E7" s="258"/>
      <c r="F7" s="258"/>
      <c r="G7" s="258"/>
      <c r="H7" s="258"/>
      <c r="I7" s="258"/>
      <c r="J7" s="258"/>
      <c r="K7" s="258"/>
      <c r="L7" s="258"/>
      <c r="M7" s="258"/>
      <c r="N7" s="247"/>
      <c r="O7" s="78"/>
    </row>
    <row r="8" spans="1:101" x14ac:dyDescent="0.25">
      <c r="A8" s="78"/>
      <c r="B8" s="259"/>
      <c r="C8" s="258"/>
      <c r="D8" s="2073" t="s">
        <v>1269</v>
      </c>
      <c r="E8" s="258"/>
      <c r="F8" s="258"/>
      <c r="G8" s="258"/>
      <c r="H8" s="258"/>
      <c r="I8" s="258"/>
      <c r="J8" s="258"/>
      <c r="K8" s="258"/>
      <c r="L8" s="258"/>
      <c r="M8" s="258"/>
      <c r="N8" s="247"/>
      <c r="O8" s="78"/>
    </row>
    <row r="9" spans="1:101" x14ac:dyDescent="0.25">
      <c r="A9" s="78"/>
      <c r="B9" s="259"/>
      <c r="C9" s="258"/>
      <c r="D9" s="2074" t="s">
        <v>1268</v>
      </c>
      <c r="E9" s="258"/>
      <c r="F9" s="258"/>
      <c r="G9" s="258"/>
      <c r="H9" s="258"/>
      <c r="I9" s="258"/>
      <c r="J9" s="258"/>
      <c r="K9" s="258"/>
      <c r="L9" s="258"/>
      <c r="M9" s="258"/>
      <c r="N9" s="247"/>
      <c r="O9" s="78"/>
    </row>
    <row r="10" spans="1:101" ht="18.45" customHeight="1" thickBot="1" x14ac:dyDescent="0.3">
      <c r="A10" s="78"/>
      <c r="B10" s="259"/>
      <c r="C10" s="258"/>
      <c r="D10" s="2070"/>
      <c r="E10" s="258"/>
      <c r="F10" s="258"/>
      <c r="G10" s="258"/>
      <c r="H10" s="258"/>
      <c r="I10" s="258"/>
      <c r="J10" s="258"/>
      <c r="K10" s="258"/>
      <c r="L10" s="258"/>
      <c r="M10" s="258"/>
      <c r="N10" s="247"/>
      <c r="O10" s="78"/>
    </row>
    <row r="11" spans="1:101" ht="15" customHeight="1" thickBot="1" x14ac:dyDescent="0.3">
      <c r="A11" s="78"/>
      <c r="B11" s="240"/>
      <c r="C11" s="241"/>
      <c r="D11" s="241"/>
      <c r="E11" s="242" t="s">
        <v>842</v>
      </c>
      <c r="F11" s="243"/>
      <c r="G11" s="233">
        <f>BillingPeriods</f>
        <v>12</v>
      </c>
      <c r="H11" s="244"/>
      <c r="I11" s="244"/>
      <c r="J11" s="244"/>
      <c r="K11" s="245"/>
      <c r="L11" s="246"/>
      <c r="M11" s="246"/>
      <c r="N11" s="247"/>
      <c r="O11" s="178"/>
      <c r="P11" s="1102"/>
      <c r="Q11" s="1102"/>
      <c r="R11" s="1102"/>
      <c r="S11" s="1103"/>
    </row>
    <row r="12" spans="1:101" x14ac:dyDescent="0.25">
      <c r="A12" s="78"/>
      <c r="B12" s="240"/>
      <c r="C12" s="241"/>
      <c r="D12" s="241"/>
      <c r="E12" s="241"/>
      <c r="F12" s="241"/>
      <c r="G12" s="241"/>
      <c r="H12" s="241"/>
      <c r="I12" s="241"/>
      <c r="J12" s="241"/>
      <c r="K12" s="241"/>
      <c r="L12" s="241"/>
      <c r="M12" s="241"/>
      <c r="N12" s="248"/>
      <c r="O12" s="78"/>
    </row>
    <row r="13" spans="1:101" ht="26.4" x14ac:dyDescent="0.25">
      <c r="A13" s="78"/>
      <c r="B13" s="240"/>
      <c r="C13" s="241"/>
      <c r="D13" s="249"/>
      <c r="E13" s="241"/>
      <c r="F13" s="241"/>
      <c r="G13" s="250" t="s">
        <v>9</v>
      </c>
      <c r="H13" s="251" t="s">
        <v>815</v>
      </c>
      <c r="I13" s="250" t="s">
        <v>171</v>
      </c>
      <c r="J13" s="252" t="s">
        <v>10</v>
      </c>
      <c r="K13" s="253" t="s">
        <v>11</v>
      </c>
      <c r="L13" s="252" t="s">
        <v>785</v>
      </c>
      <c r="M13" s="254"/>
      <c r="N13" s="255"/>
      <c r="O13" s="179"/>
      <c r="P13" s="1105"/>
      <c r="Q13" s="1104"/>
      <c r="R13" s="1105"/>
      <c r="S13" s="1104"/>
      <c r="T13" s="174"/>
    </row>
    <row r="14" spans="1:101" x14ac:dyDescent="0.25">
      <c r="A14" s="78"/>
      <c r="B14" s="240"/>
      <c r="C14" s="241"/>
      <c r="D14" s="249"/>
      <c r="E14" s="241"/>
      <c r="F14" s="241"/>
      <c r="G14" s="244"/>
      <c r="H14" s="265"/>
      <c r="I14" s="244"/>
      <c r="J14" s="266"/>
      <c r="K14" s="267"/>
      <c r="L14" s="266"/>
      <c r="M14" s="254"/>
      <c r="N14" s="255"/>
      <c r="O14" s="179"/>
      <c r="P14" s="1105"/>
      <c r="Q14" s="1104"/>
      <c r="R14" s="1105"/>
      <c r="S14" s="1104"/>
      <c r="T14" s="174"/>
    </row>
    <row r="15" spans="1:101" x14ac:dyDescent="0.25">
      <c r="A15" s="78"/>
      <c r="B15" s="240"/>
      <c r="C15" s="241"/>
      <c r="D15" s="268"/>
      <c r="E15" s="260"/>
      <c r="F15" s="260"/>
      <c r="G15" s="2396" t="s">
        <v>840</v>
      </c>
      <c r="H15" s="2396" t="s">
        <v>840</v>
      </c>
      <c r="I15" s="2396" t="s">
        <v>840</v>
      </c>
      <c r="J15" s="2396" t="s">
        <v>840</v>
      </c>
      <c r="K15" s="2396" t="s">
        <v>840</v>
      </c>
      <c r="L15" s="2396" t="s">
        <v>840</v>
      </c>
      <c r="M15" s="269"/>
      <c r="N15" s="270"/>
      <c r="O15" s="180"/>
      <c r="P15" s="1110"/>
      <c r="Q15" s="1106"/>
      <c r="R15" s="1110"/>
      <c r="S15" s="1106"/>
      <c r="T15" s="175"/>
    </row>
    <row r="16" spans="1:101" x14ac:dyDescent="0.25">
      <c r="A16" s="78"/>
      <c r="B16" s="240"/>
      <c r="C16" s="241"/>
      <c r="D16" s="256" t="s">
        <v>159</v>
      </c>
      <c r="E16" s="256" t="s">
        <v>841</v>
      </c>
      <c r="F16" s="271"/>
      <c r="G16" s="2397"/>
      <c r="H16" s="2397"/>
      <c r="I16" s="2397"/>
      <c r="J16" s="2397"/>
      <c r="K16" s="2397"/>
      <c r="L16" s="2397"/>
      <c r="M16" s="272" t="s">
        <v>645</v>
      </c>
      <c r="N16" s="273"/>
      <c r="O16" s="180"/>
      <c r="P16" s="1111"/>
      <c r="Q16" s="1106"/>
      <c r="R16" s="1111"/>
      <c r="S16" s="1106"/>
      <c r="T16" s="36"/>
    </row>
    <row r="17" spans="1:20" x14ac:dyDescent="0.25">
      <c r="A17" s="78"/>
      <c r="B17" s="240"/>
      <c r="C17" s="241"/>
      <c r="D17" s="241"/>
      <c r="E17" s="241"/>
      <c r="F17" s="241"/>
      <c r="G17" s="241"/>
      <c r="H17" s="274"/>
      <c r="I17" s="241"/>
      <c r="J17" s="241"/>
      <c r="K17" s="241"/>
      <c r="L17" s="274"/>
      <c r="M17" s="274"/>
      <c r="N17" s="275"/>
      <c r="O17" s="180"/>
      <c r="P17" s="1109"/>
      <c r="Q17" s="1106"/>
      <c r="R17" s="1109"/>
      <c r="S17" s="1106"/>
      <c r="T17" s="32"/>
    </row>
    <row r="18" spans="1:20" ht="15" customHeight="1" x14ac:dyDescent="0.25">
      <c r="A18" s="78"/>
      <c r="B18" s="240"/>
      <c r="C18" s="241"/>
      <c r="D18" s="268" t="s">
        <v>177</v>
      </c>
      <c r="E18" s="1373">
        <f>Attach2B!E18</f>
        <v>11.21</v>
      </c>
      <c r="F18" s="261"/>
      <c r="G18" s="199">
        <v>614</v>
      </c>
      <c r="H18" s="199">
        <v>0</v>
      </c>
      <c r="I18" s="197">
        <v>24</v>
      </c>
      <c r="J18" s="199">
        <v>1</v>
      </c>
      <c r="K18" s="197">
        <v>5</v>
      </c>
      <c r="L18" s="199">
        <v>0</v>
      </c>
      <c r="M18" s="1499">
        <f t="shared" ref="M18:M30" si="0">SUM(G18+H18+I18+J18+K18+L18)</f>
        <v>644</v>
      </c>
      <c r="N18" s="263"/>
      <c r="O18" s="180"/>
      <c r="P18" s="1107"/>
      <c r="Q18" s="1106"/>
      <c r="R18" s="1107"/>
      <c r="S18" s="1106"/>
      <c r="T18" s="55"/>
    </row>
    <row r="19" spans="1:20" ht="15" customHeight="1" x14ac:dyDescent="0.25">
      <c r="A19" s="78"/>
      <c r="B19" s="240"/>
      <c r="C19" s="241"/>
      <c r="D19" s="268" t="s">
        <v>178</v>
      </c>
      <c r="E19" s="1373">
        <f>Attach2B!E19</f>
        <v>11.21</v>
      </c>
      <c r="F19" s="261"/>
      <c r="G19" s="200">
        <v>0</v>
      </c>
      <c r="H19" s="200">
        <v>0</v>
      </c>
      <c r="I19" s="198">
        <v>0</v>
      </c>
      <c r="J19" s="200">
        <v>0</v>
      </c>
      <c r="K19" s="198">
        <v>0</v>
      </c>
      <c r="L19" s="200">
        <v>0</v>
      </c>
      <c r="M19" s="1500">
        <f t="shared" si="0"/>
        <v>0</v>
      </c>
      <c r="N19" s="263"/>
      <c r="O19" s="180"/>
      <c r="P19" s="1107"/>
      <c r="Q19" s="1106"/>
      <c r="R19" s="1107"/>
      <c r="S19" s="1106"/>
      <c r="T19" s="55"/>
    </row>
    <row r="20" spans="1:20" ht="15" customHeight="1" x14ac:dyDescent="0.25">
      <c r="A20" s="78"/>
      <c r="B20" s="240"/>
      <c r="C20" s="241"/>
      <c r="D20" s="268" t="s">
        <v>179</v>
      </c>
      <c r="E20" s="1373">
        <f>Attach2B!E20</f>
        <v>14.2</v>
      </c>
      <c r="F20" s="261"/>
      <c r="G20" s="200">
        <v>1</v>
      </c>
      <c r="H20" s="200">
        <v>3</v>
      </c>
      <c r="I20" s="198">
        <v>5</v>
      </c>
      <c r="J20" s="200">
        <v>2</v>
      </c>
      <c r="K20" s="198">
        <v>2</v>
      </c>
      <c r="L20" s="200">
        <v>0</v>
      </c>
      <c r="M20" s="1500">
        <f t="shared" si="0"/>
        <v>13</v>
      </c>
      <c r="N20" s="263"/>
      <c r="O20" s="180"/>
      <c r="P20" s="1107"/>
      <c r="Q20" s="1106"/>
      <c r="R20" s="1107"/>
      <c r="S20" s="1106"/>
      <c r="T20" s="55"/>
    </row>
    <row r="21" spans="1:20" ht="15" customHeight="1" x14ac:dyDescent="0.25">
      <c r="A21" s="78"/>
      <c r="B21" s="240"/>
      <c r="C21" s="241"/>
      <c r="D21" s="268" t="s">
        <v>180</v>
      </c>
      <c r="E21" s="1373">
        <f>Attach2B!E21</f>
        <v>17.48</v>
      </c>
      <c r="F21" s="261"/>
      <c r="G21" s="200">
        <v>0</v>
      </c>
      <c r="H21" s="200">
        <v>0</v>
      </c>
      <c r="I21" s="198">
        <v>0</v>
      </c>
      <c r="J21" s="200">
        <v>0</v>
      </c>
      <c r="K21" s="198">
        <v>0</v>
      </c>
      <c r="L21" s="200">
        <v>0</v>
      </c>
      <c r="M21" s="1500">
        <f t="shared" si="0"/>
        <v>0</v>
      </c>
      <c r="N21" s="263"/>
      <c r="O21" s="180"/>
      <c r="P21" s="1107"/>
      <c r="Q21" s="1106"/>
      <c r="R21" s="1107"/>
      <c r="S21" s="1106"/>
      <c r="T21" s="55"/>
    </row>
    <row r="22" spans="1:20" ht="15" customHeight="1" x14ac:dyDescent="0.25">
      <c r="A22" s="78"/>
      <c r="B22" s="240"/>
      <c r="C22" s="241"/>
      <c r="D22" s="268" t="s">
        <v>181</v>
      </c>
      <c r="E22" s="1373">
        <f>Attach2B!E22</f>
        <v>20.76</v>
      </c>
      <c r="F22" s="261"/>
      <c r="G22" s="200">
        <v>0</v>
      </c>
      <c r="H22" s="200">
        <v>1</v>
      </c>
      <c r="I22" s="198">
        <v>0</v>
      </c>
      <c r="J22" s="200">
        <v>0</v>
      </c>
      <c r="K22" s="198">
        <v>3</v>
      </c>
      <c r="L22" s="200">
        <v>0</v>
      </c>
      <c r="M22" s="1500">
        <f t="shared" si="0"/>
        <v>4</v>
      </c>
      <c r="N22" s="263"/>
      <c r="O22" s="180"/>
      <c r="P22" s="1107"/>
      <c r="Q22" s="1106"/>
      <c r="R22" s="1107"/>
      <c r="S22" s="1106"/>
      <c r="T22" s="55"/>
    </row>
    <row r="23" spans="1:20" ht="15" customHeight="1" x14ac:dyDescent="0.25">
      <c r="A23" s="78"/>
      <c r="B23" s="240"/>
      <c r="C23" s="241"/>
      <c r="D23" s="268" t="s">
        <v>182</v>
      </c>
      <c r="E23" s="1373">
        <f>Attach2B!E23</f>
        <v>60.1</v>
      </c>
      <c r="F23" s="261"/>
      <c r="G23" s="200">
        <v>0</v>
      </c>
      <c r="H23" s="200">
        <v>0</v>
      </c>
      <c r="I23" s="198">
        <v>0</v>
      </c>
      <c r="J23" s="200">
        <v>0</v>
      </c>
      <c r="K23" s="198">
        <v>6</v>
      </c>
      <c r="L23" s="200">
        <v>0</v>
      </c>
      <c r="M23" s="1500">
        <f t="shared" si="0"/>
        <v>6</v>
      </c>
      <c r="N23" s="263"/>
      <c r="O23" s="180"/>
      <c r="P23" s="1107"/>
      <c r="Q23" s="1106"/>
      <c r="R23" s="1107"/>
      <c r="S23" s="1106"/>
      <c r="T23" s="55"/>
    </row>
    <row r="24" spans="1:20" ht="15" customHeight="1" x14ac:dyDescent="0.25">
      <c r="A24" s="78"/>
      <c r="B24" s="240"/>
      <c r="C24" s="241"/>
      <c r="D24" s="268" t="s">
        <v>183</v>
      </c>
      <c r="E24" s="1373">
        <f>Attach2B!E24</f>
        <v>0</v>
      </c>
      <c r="F24" s="261"/>
      <c r="G24" s="200">
        <v>0</v>
      </c>
      <c r="H24" s="200">
        <v>0</v>
      </c>
      <c r="I24" s="198">
        <v>0</v>
      </c>
      <c r="J24" s="200">
        <v>0</v>
      </c>
      <c r="K24" s="198">
        <v>0</v>
      </c>
      <c r="L24" s="200">
        <v>0</v>
      </c>
      <c r="M24" s="1500">
        <f t="shared" si="0"/>
        <v>0</v>
      </c>
      <c r="N24" s="263"/>
      <c r="O24" s="180"/>
      <c r="P24" s="1107"/>
      <c r="Q24" s="1106"/>
      <c r="R24" s="1107"/>
      <c r="S24" s="1106"/>
      <c r="T24" s="55"/>
    </row>
    <row r="25" spans="1:20" ht="15" customHeight="1" x14ac:dyDescent="0.25">
      <c r="A25" s="78"/>
      <c r="B25" s="240"/>
      <c r="C25" s="241"/>
      <c r="D25" s="268" t="s">
        <v>184</v>
      </c>
      <c r="E25" s="1373">
        <f>Attach2B!E25</f>
        <v>80.87</v>
      </c>
      <c r="F25" s="261"/>
      <c r="G25" s="200">
        <v>0</v>
      </c>
      <c r="H25" s="200">
        <v>0</v>
      </c>
      <c r="I25" s="198">
        <v>0</v>
      </c>
      <c r="J25" s="200">
        <v>1</v>
      </c>
      <c r="K25" s="198">
        <v>1</v>
      </c>
      <c r="L25" s="200">
        <v>0</v>
      </c>
      <c r="M25" s="1500">
        <f t="shared" si="0"/>
        <v>2</v>
      </c>
      <c r="N25" s="263"/>
      <c r="O25" s="180"/>
      <c r="P25" s="1107"/>
      <c r="Q25" s="1106"/>
      <c r="R25" s="1107"/>
      <c r="S25" s="1106"/>
      <c r="T25" s="55"/>
    </row>
    <row r="26" spans="1:20" ht="15" customHeight="1" x14ac:dyDescent="0.25">
      <c r="A26" s="78"/>
      <c r="B26" s="240"/>
      <c r="C26" s="241"/>
      <c r="D26" s="268" t="s">
        <v>185</v>
      </c>
      <c r="E26" s="1373">
        <f>Attach2B!E26</f>
        <v>104.91</v>
      </c>
      <c r="F26" s="261"/>
      <c r="G26" s="200">
        <v>0</v>
      </c>
      <c r="H26" s="200">
        <v>0</v>
      </c>
      <c r="I26" s="198">
        <v>0</v>
      </c>
      <c r="J26" s="200">
        <v>0</v>
      </c>
      <c r="K26" s="198">
        <v>0</v>
      </c>
      <c r="L26" s="200">
        <v>0</v>
      </c>
      <c r="M26" s="1500">
        <f t="shared" si="0"/>
        <v>0</v>
      </c>
      <c r="N26" s="263"/>
      <c r="O26" s="180"/>
      <c r="P26" s="1107"/>
      <c r="Q26" s="1106"/>
      <c r="R26" s="1107"/>
      <c r="S26" s="1106"/>
      <c r="T26" s="55"/>
    </row>
    <row r="27" spans="1:20" ht="15" customHeight="1" x14ac:dyDescent="0.25">
      <c r="A27" s="78"/>
      <c r="B27" s="240"/>
      <c r="C27" s="241"/>
      <c r="D27" s="268" t="s">
        <v>186</v>
      </c>
      <c r="E27" s="1373">
        <f>Attach2B!E27</f>
        <v>154.08000000000001</v>
      </c>
      <c r="F27" s="261"/>
      <c r="G27" s="200">
        <v>0</v>
      </c>
      <c r="H27" s="200">
        <v>0</v>
      </c>
      <c r="I27" s="198">
        <v>0</v>
      </c>
      <c r="J27" s="200">
        <v>0</v>
      </c>
      <c r="K27" s="198">
        <v>0</v>
      </c>
      <c r="L27" s="200">
        <v>0</v>
      </c>
      <c r="M27" s="1500">
        <f t="shared" si="0"/>
        <v>0</v>
      </c>
      <c r="N27" s="263"/>
      <c r="O27" s="180"/>
      <c r="P27" s="1107"/>
      <c r="Q27" s="1106"/>
      <c r="R27" s="1107"/>
      <c r="S27" s="1106"/>
      <c r="T27" s="55"/>
    </row>
    <row r="28" spans="1:20" ht="15" customHeight="1" x14ac:dyDescent="0.25">
      <c r="A28" s="78"/>
      <c r="B28" s="240"/>
      <c r="C28" s="241"/>
      <c r="D28" s="268" t="s">
        <v>187</v>
      </c>
      <c r="E28" s="1373">
        <f>Attach2B!E28</f>
        <v>169.37</v>
      </c>
      <c r="F28" s="261"/>
      <c r="G28" s="200">
        <v>0</v>
      </c>
      <c r="H28" s="200">
        <v>0</v>
      </c>
      <c r="I28" s="198">
        <v>0</v>
      </c>
      <c r="J28" s="200">
        <v>0</v>
      </c>
      <c r="K28" s="198">
        <v>0</v>
      </c>
      <c r="L28" s="200">
        <v>0</v>
      </c>
      <c r="M28" s="1500">
        <f t="shared" si="0"/>
        <v>0</v>
      </c>
      <c r="N28" s="263"/>
      <c r="O28" s="180"/>
      <c r="P28" s="1107"/>
      <c r="Q28" s="1106"/>
      <c r="R28" s="1107"/>
      <c r="S28" s="1106"/>
      <c r="T28" s="55"/>
    </row>
    <row r="29" spans="1:20" ht="15" customHeight="1" x14ac:dyDescent="0.25">
      <c r="A29" s="78"/>
      <c r="B29" s="240"/>
      <c r="C29" s="241"/>
      <c r="D29" s="268" t="s">
        <v>188</v>
      </c>
      <c r="E29" s="1373">
        <f>Attach2B!E29</f>
        <v>213.09</v>
      </c>
      <c r="F29" s="261"/>
      <c r="G29" s="200">
        <v>0</v>
      </c>
      <c r="H29" s="200">
        <v>0</v>
      </c>
      <c r="I29" s="198">
        <v>0</v>
      </c>
      <c r="J29" s="200">
        <v>0</v>
      </c>
      <c r="K29" s="198">
        <v>0</v>
      </c>
      <c r="L29" s="200">
        <v>0</v>
      </c>
      <c r="M29" s="1500">
        <f t="shared" si="0"/>
        <v>0</v>
      </c>
      <c r="N29" s="263"/>
      <c r="O29" s="180"/>
      <c r="P29" s="1107"/>
      <c r="Q29" s="1106"/>
      <c r="R29" s="1107"/>
      <c r="S29" s="1106"/>
      <c r="T29" s="55"/>
    </row>
    <row r="30" spans="1:20" ht="15" customHeight="1" x14ac:dyDescent="0.25">
      <c r="A30" s="78"/>
      <c r="B30" s="240"/>
      <c r="C30" s="241"/>
      <c r="D30" s="268" t="s">
        <v>189</v>
      </c>
      <c r="E30" s="1373">
        <f>Attach2B!E30</f>
        <v>277.55</v>
      </c>
      <c r="F30" s="261"/>
      <c r="G30" s="201">
        <v>0</v>
      </c>
      <c r="H30" s="201">
        <v>0</v>
      </c>
      <c r="I30" s="196">
        <v>0</v>
      </c>
      <c r="J30" s="201">
        <v>0</v>
      </c>
      <c r="K30" s="196">
        <v>0</v>
      </c>
      <c r="L30" s="201">
        <v>0</v>
      </c>
      <c r="M30" s="1501">
        <f t="shared" si="0"/>
        <v>0</v>
      </c>
      <c r="N30" s="263"/>
      <c r="O30" s="180"/>
      <c r="P30" s="1107"/>
      <c r="Q30" s="1106"/>
      <c r="R30" s="1107"/>
      <c r="S30" s="1106"/>
      <c r="T30" s="55"/>
    </row>
    <row r="31" spans="1:20" ht="15" customHeight="1" x14ac:dyDescent="0.25">
      <c r="A31" s="78"/>
      <c r="B31" s="240"/>
      <c r="C31" s="241"/>
      <c r="D31" s="241"/>
      <c r="E31" s="241"/>
      <c r="F31" s="241"/>
      <c r="G31" s="278"/>
      <c r="H31" s="278"/>
      <c r="I31" s="278"/>
      <c r="J31" s="278"/>
      <c r="K31" s="278"/>
      <c r="L31" s="278"/>
      <c r="M31" s="278"/>
      <c r="N31" s="279"/>
      <c r="O31" s="183"/>
      <c r="P31" s="1112"/>
      <c r="Q31" s="1112"/>
      <c r="R31" s="1113"/>
      <c r="S31" s="1112"/>
      <c r="T31" s="37"/>
    </row>
    <row r="32" spans="1:20" ht="15" customHeight="1" x14ac:dyDescent="0.25">
      <c r="A32" s="78"/>
      <c r="B32" s="240"/>
      <c r="C32" s="241"/>
      <c r="D32" s="258"/>
      <c r="E32" s="264" t="s">
        <v>836</v>
      </c>
      <c r="F32" s="241"/>
      <c r="G32" s="262">
        <f t="shared" ref="G32:M32" si="1">SUM(G18:G30)</f>
        <v>615</v>
      </c>
      <c r="H32" s="262">
        <f t="shared" si="1"/>
        <v>4</v>
      </c>
      <c r="I32" s="262">
        <f t="shared" si="1"/>
        <v>29</v>
      </c>
      <c r="J32" s="262">
        <f t="shared" si="1"/>
        <v>4</v>
      </c>
      <c r="K32" s="262">
        <f t="shared" si="1"/>
        <v>17</v>
      </c>
      <c r="L32" s="262">
        <f t="shared" si="1"/>
        <v>0</v>
      </c>
      <c r="M32" s="1502">
        <f t="shared" si="1"/>
        <v>669</v>
      </c>
      <c r="N32" s="263"/>
      <c r="O32" s="181"/>
      <c r="P32" s="1107"/>
      <c r="Q32" s="1108"/>
      <c r="R32" s="1107"/>
      <c r="S32" s="1108"/>
      <c r="T32" s="55"/>
    </row>
    <row r="33" spans="1:20" ht="15" customHeight="1" thickBot="1" x14ac:dyDescent="0.3">
      <c r="A33" s="78"/>
      <c r="B33" s="240"/>
      <c r="C33" s="241"/>
      <c r="D33" s="258"/>
      <c r="E33" s="264" t="s">
        <v>837</v>
      </c>
      <c r="F33" s="241"/>
      <c r="G33" s="280">
        <f t="shared" ref="G33:M33" si="2">SUM(PRODUCT(G18,$E$18),PRODUCT(G19,$E$19),PRODUCT(G20,$E$20),PRODUCT(G21,$E$21),PRODUCT(G22,$E$22),PRODUCT(G23,$E$23),PRODUCT(G24,$E$24),PRODUCT(G25,$E$25),PRODUCT(G26,$E$26),PRODUCT(G27,$E$27),PRODUCT(G28,$E$28),PRODUCT(G29,$E$29),PRODUCT(G30,$E$30))*BillingPeriods</f>
        <v>82765.680000000008</v>
      </c>
      <c r="H33" s="280">
        <f t="shared" si="2"/>
        <v>760.31999999999994</v>
      </c>
      <c r="I33" s="280">
        <f t="shared" si="2"/>
        <v>4080.4800000000005</v>
      </c>
      <c r="J33" s="280">
        <f t="shared" si="2"/>
        <v>1445.76</v>
      </c>
      <c r="K33" s="280">
        <f t="shared" si="2"/>
        <v>7058.4000000000005</v>
      </c>
      <c r="L33" s="280">
        <f t="shared" si="2"/>
        <v>0</v>
      </c>
      <c r="M33" s="1503">
        <f t="shared" si="2"/>
        <v>96110.640000000014</v>
      </c>
      <c r="N33" s="281"/>
      <c r="O33" s="184"/>
      <c r="P33" s="1114"/>
      <c r="Q33" s="1114"/>
      <c r="R33" s="1114"/>
      <c r="S33" s="1115"/>
      <c r="T33" s="38"/>
    </row>
    <row r="34" spans="1:20" ht="15" customHeight="1" thickTop="1" x14ac:dyDescent="0.25">
      <c r="A34" s="78"/>
      <c r="B34" s="240"/>
      <c r="C34" s="241"/>
      <c r="D34" s="258"/>
      <c r="E34" s="264"/>
      <c r="F34" s="241"/>
      <c r="G34" s="276"/>
      <c r="H34" s="282"/>
      <c r="I34" s="282"/>
      <c r="J34" s="282"/>
      <c r="K34" s="276"/>
      <c r="L34" s="282"/>
      <c r="M34" s="276"/>
      <c r="N34" s="281"/>
      <c r="O34" s="184"/>
      <c r="P34" s="1114"/>
      <c r="Q34" s="1114"/>
      <c r="R34" s="1114"/>
      <c r="S34" s="1115"/>
      <c r="T34" s="38"/>
    </row>
    <row r="35" spans="1:20" ht="15" customHeight="1" x14ac:dyDescent="0.25">
      <c r="A35" s="78"/>
      <c r="B35" s="240"/>
      <c r="C35" s="241"/>
      <c r="D35" s="258"/>
      <c r="E35" s="264" t="s">
        <v>875</v>
      </c>
      <c r="F35" s="241"/>
      <c r="G35" s="1339">
        <f>Attach3A!D53</f>
        <v>124375.6</v>
      </c>
      <c r="H35" s="1339">
        <f>Attach3A!E53</f>
        <v>5766.65</v>
      </c>
      <c r="I35" s="1339">
        <f>Attach3A!F53</f>
        <v>5843.0300000000007</v>
      </c>
      <c r="J35" s="1339">
        <f>Attach3A!G53</f>
        <v>6906.9</v>
      </c>
      <c r="K35" s="1339">
        <f>Attach3A!H53</f>
        <v>7507.9500000000007</v>
      </c>
      <c r="L35" s="1339">
        <f>Attach3A!I53</f>
        <v>0</v>
      </c>
      <c r="M35" s="1504">
        <f>Attach3A!J53</f>
        <v>150400.13</v>
      </c>
      <c r="N35" s="281"/>
      <c r="O35" s="184"/>
      <c r="P35" s="1114"/>
      <c r="Q35" s="1114"/>
      <c r="R35" s="1114"/>
      <c r="S35" s="1115"/>
      <c r="T35" s="38"/>
    </row>
    <row r="36" spans="1:20" ht="15" customHeight="1" x14ac:dyDescent="0.25">
      <c r="A36" s="78"/>
      <c r="B36" s="240"/>
      <c r="C36" s="241"/>
      <c r="D36" s="258"/>
      <c r="E36" s="264"/>
      <c r="F36" s="241"/>
      <c r="G36" s="276"/>
      <c r="H36" s="282"/>
      <c r="I36" s="282"/>
      <c r="J36" s="282"/>
      <c r="K36" s="276"/>
      <c r="L36" s="282"/>
      <c r="M36" s="276"/>
      <c r="N36" s="281"/>
      <c r="O36" s="184"/>
      <c r="P36" s="1114"/>
      <c r="Q36" s="1114"/>
      <c r="R36" s="1114"/>
      <c r="S36" s="1115"/>
      <c r="T36" s="38"/>
    </row>
    <row r="37" spans="1:20" ht="15" customHeight="1" x14ac:dyDescent="0.25">
      <c r="A37" s="78"/>
      <c r="B37" s="240"/>
      <c r="C37" s="241"/>
      <c r="D37" s="258"/>
      <c r="E37" s="264" t="s">
        <v>190</v>
      </c>
      <c r="F37" s="241"/>
      <c r="G37" s="203">
        <v>0</v>
      </c>
      <c r="H37" s="203">
        <v>0</v>
      </c>
      <c r="I37" s="203">
        <v>0</v>
      </c>
      <c r="J37" s="203">
        <v>0</v>
      </c>
      <c r="K37" s="203">
        <v>0</v>
      </c>
      <c r="L37" s="203">
        <v>0</v>
      </c>
      <c r="M37" s="1505">
        <f>SUM(G37:L37)</f>
        <v>0</v>
      </c>
      <c r="N37" s="283"/>
      <c r="O37" s="184"/>
      <c r="P37" s="1116"/>
      <c r="Q37" s="1116"/>
      <c r="R37" s="1116"/>
      <c r="S37" s="1117"/>
      <c r="T37" s="41"/>
    </row>
    <row r="38" spans="1:20" ht="15" customHeight="1" x14ac:dyDescent="0.25">
      <c r="A38" s="78"/>
      <c r="B38" s="240"/>
      <c r="C38" s="241"/>
      <c r="D38" s="241"/>
      <c r="E38" s="241"/>
      <c r="F38" s="241"/>
      <c r="G38" s="284"/>
      <c r="H38" s="284"/>
      <c r="I38" s="284"/>
      <c r="J38" s="284"/>
      <c r="K38" s="284"/>
      <c r="L38" s="284"/>
      <c r="M38" s="284"/>
      <c r="N38" s="285"/>
      <c r="O38" s="184"/>
      <c r="P38" s="1118"/>
      <c r="Q38" s="1118"/>
      <c r="R38" s="1119"/>
      <c r="S38" s="1120"/>
      <c r="T38" s="33"/>
    </row>
    <row r="39" spans="1:20" ht="15" customHeight="1" thickBot="1" x14ac:dyDescent="0.3">
      <c r="A39" s="78"/>
      <c r="B39" s="259"/>
      <c r="C39" s="241"/>
      <c r="D39" s="241"/>
      <c r="E39" s="264" t="s">
        <v>844</v>
      </c>
      <c r="F39" s="241"/>
      <c r="G39" s="287">
        <f>SUM(G33+G37+G35)</f>
        <v>207141.28000000003</v>
      </c>
      <c r="H39" s="287">
        <f t="shared" ref="H39:M39" si="3">SUM(H33+H37+H35)</f>
        <v>6526.9699999999993</v>
      </c>
      <c r="I39" s="287">
        <f t="shared" si="3"/>
        <v>9923.510000000002</v>
      </c>
      <c r="J39" s="287">
        <f t="shared" si="3"/>
        <v>8352.66</v>
      </c>
      <c r="K39" s="287">
        <f t="shared" si="3"/>
        <v>14566.350000000002</v>
      </c>
      <c r="L39" s="287">
        <f t="shared" si="3"/>
        <v>0</v>
      </c>
      <c r="M39" s="287">
        <f t="shared" si="3"/>
        <v>246510.77000000002</v>
      </c>
      <c r="N39" s="263"/>
      <c r="O39" s="186"/>
      <c r="P39" s="1107"/>
      <c r="Q39" s="1107"/>
      <c r="R39" s="1107"/>
      <c r="S39" s="58"/>
      <c r="T39" s="55"/>
    </row>
    <row r="40" spans="1:20" ht="15" customHeight="1" thickTop="1" x14ac:dyDescent="0.25">
      <c r="A40" s="78"/>
      <c r="B40" s="259"/>
      <c r="C40" s="241"/>
      <c r="D40" s="241"/>
      <c r="E40" s="264"/>
      <c r="F40" s="241"/>
      <c r="G40" s="276"/>
      <c r="H40" s="276"/>
      <c r="I40" s="276"/>
      <c r="J40" s="276"/>
      <c r="K40" s="276"/>
      <c r="L40" s="276"/>
      <c r="M40" s="276"/>
      <c r="N40" s="286"/>
      <c r="O40" s="180"/>
      <c r="P40" s="1117"/>
      <c r="Q40" s="1117"/>
      <c r="R40" s="1117"/>
      <c r="S40" s="1106"/>
      <c r="T40" s="39"/>
    </row>
    <row r="41" spans="1:20" ht="15" customHeight="1" x14ac:dyDescent="0.25">
      <c r="A41" s="78"/>
      <c r="B41" s="259"/>
      <c r="C41" s="241"/>
      <c r="D41" s="241"/>
      <c r="E41" s="264"/>
      <c r="F41" s="241"/>
      <c r="G41" s="292"/>
      <c r="H41" s="292"/>
      <c r="I41" s="292"/>
      <c r="J41" s="292"/>
      <c r="K41" s="292"/>
      <c r="L41" s="292"/>
      <c r="M41" s="292"/>
      <c r="N41" s="283"/>
      <c r="O41" s="187"/>
      <c r="P41" s="1121"/>
      <c r="Q41" s="1121"/>
      <c r="R41" s="1121"/>
      <c r="S41" s="1122"/>
      <c r="T41" s="38"/>
    </row>
    <row r="42" spans="1:20" ht="27" customHeight="1" x14ac:dyDescent="0.25">
      <c r="A42" s="78"/>
      <c r="B42" s="259"/>
      <c r="C42" s="241"/>
      <c r="D42" s="2398" t="s">
        <v>209</v>
      </c>
      <c r="E42" s="2398"/>
      <c r="F42" s="2398"/>
      <c r="G42" s="276"/>
      <c r="H42" s="276"/>
      <c r="I42" s="276"/>
      <c r="J42" s="276"/>
      <c r="K42" s="276"/>
      <c r="L42" s="276"/>
      <c r="M42" s="276"/>
      <c r="N42" s="286"/>
      <c r="O42" s="180"/>
      <c r="P42" s="1117"/>
      <c r="Q42" s="1117"/>
      <c r="R42" s="1117"/>
      <c r="S42" s="1106"/>
      <c r="T42" s="39"/>
    </row>
    <row r="43" spans="1:20" ht="15" customHeight="1" x14ac:dyDescent="0.25">
      <c r="A43" s="78"/>
      <c r="B43" s="259"/>
      <c r="C43" s="241"/>
      <c r="D43" s="241"/>
      <c r="E43" s="241" t="s">
        <v>210</v>
      </c>
      <c r="F43" s="293" t="s">
        <v>176</v>
      </c>
      <c r="G43" s="295"/>
      <c r="H43" s="293"/>
      <c r="I43" s="293"/>
      <c r="J43" s="293"/>
      <c r="K43" s="293"/>
      <c r="L43" s="293"/>
      <c r="M43" s="293"/>
      <c r="N43" s="263"/>
      <c r="O43" s="186"/>
      <c r="P43" s="1107"/>
      <c r="Q43" s="1107"/>
      <c r="R43" s="1107"/>
      <c r="S43" s="58"/>
      <c r="T43" s="55"/>
    </row>
    <row r="44" spans="1:20" ht="15" customHeight="1" x14ac:dyDescent="0.25">
      <c r="A44" s="78"/>
      <c r="B44" s="259"/>
      <c r="C44" s="296"/>
      <c r="D44" s="297" t="s">
        <v>211</v>
      </c>
      <c r="E44" s="296" t="s">
        <v>202</v>
      </c>
      <c r="F44" s="277" t="s">
        <v>212</v>
      </c>
      <c r="G44" s="295"/>
      <c r="H44" s="276"/>
      <c r="I44" s="276"/>
      <c r="J44" s="276"/>
      <c r="K44" s="276"/>
      <c r="L44" s="276"/>
      <c r="M44" s="276"/>
      <c r="N44" s="286"/>
      <c r="O44" s="180"/>
      <c r="P44" s="1117"/>
      <c r="Q44" s="1117"/>
      <c r="R44" s="1117"/>
      <c r="S44" s="1106"/>
      <c r="T44" s="30"/>
    </row>
    <row r="45" spans="1:20" ht="15" customHeight="1" x14ac:dyDescent="0.25">
      <c r="A45" s="78"/>
      <c r="B45" s="259"/>
      <c r="C45" s="241"/>
      <c r="D45" s="257" t="s">
        <v>9</v>
      </c>
      <c r="E45" s="298">
        <v>1</v>
      </c>
      <c r="F45" s="1523" t="s">
        <v>177</v>
      </c>
      <c r="G45" s="294"/>
      <c r="H45" s="294"/>
      <c r="I45" s="294"/>
      <c r="J45" s="294"/>
      <c r="K45" s="294"/>
      <c r="L45" s="294"/>
      <c r="M45" s="294"/>
      <c r="N45" s="288"/>
      <c r="O45" s="186"/>
      <c r="P45" s="1123"/>
      <c r="Q45" s="1123"/>
      <c r="R45" s="1123"/>
      <c r="S45" s="58"/>
      <c r="T45" s="67"/>
    </row>
    <row r="46" spans="1:20" x14ac:dyDescent="0.25">
      <c r="A46" s="78"/>
      <c r="B46" s="240"/>
      <c r="C46" s="241"/>
      <c r="D46" s="241" t="s">
        <v>816</v>
      </c>
      <c r="E46" s="298">
        <v>0</v>
      </c>
      <c r="F46" s="1524"/>
      <c r="G46" s="241"/>
      <c r="H46" s="276"/>
      <c r="I46" s="276"/>
      <c r="J46" s="276"/>
      <c r="K46" s="241"/>
      <c r="L46" s="276"/>
      <c r="M46" s="241"/>
      <c r="N46" s="286"/>
      <c r="O46" s="78"/>
      <c r="P46" s="1124"/>
      <c r="Q46" s="1124"/>
      <c r="R46" s="1124"/>
      <c r="T46" s="40"/>
    </row>
    <row r="47" spans="1:20" x14ac:dyDescent="0.25">
      <c r="A47" s="78"/>
      <c r="B47" s="240"/>
      <c r="C47" s="241"/>
      <c r="D47" s="241" t="s">
        <v>171</v>
      </c>
      <c r="E47" s="298">
        <v>0</v>
      </c>
      <c r="F47" s="1524"/>
      <c r="G47" s="241"/>
      <c r="H47" s="241"/>
      <c r="I47" s="241"/>
      <c r="J47" s="241"/>
      <c r="K47" s="241"/>
      <c r="L47" s="241"/>
      <c r="M47" s="241"/>
      <c r="N47" s="248"/>
      <c r="O47" s="78"/>
    </row>
    <row r="48" spans="1:20" x14ac:dyDescent="0.25">
      <c r="A48" s="78"/>
      <c r="B48" s="240"/>
      <c r="C48" s="241"/>
      <c r="D48" s="241" t="s">
        <v>10</v>
      </c>
      <c r="E48" s="298">
        <v>0</v>
      </c>
      <c r="F48" s="1524"/>
      <c r="G48" s="241"/>
      <c r="H48" s="241"/>
      <c r="I48" s="241"/>
      <c r="J48" s="241"/>
      <c r="K48" s="241"/>
      <c r="L48" s="241"/>
      <c r="M48" s="241"/>
      <c r="N48" s="248"/>
      <c r="O48" s="78"/>
    </row>
    <row r="49" spans="1:15" x14ac:dyDescent="0.25">
      <c r="A49" s="78"/>
      <c r="B49" s="240"/>
      <c r="C49" s="241"/>
      <c r="D49" s="241" t="s">
        <v>213</v>
      </c>
      <c r="E49" s="298">
        <v>0</v>
      </c>
      <c r="F49" s="1524"/>
      <c r="G49" s="241"/>
      <c r="H49" s="241"/>
      <c r="I49" s="241"/>
      <c r="J49" s="241"/>
      <c r="K49" s="241"/>
      <c r="L49" s="241"/>
      <c r="M49" s="241"/>
      <c r="N49" s="248"/>
      <c r="O49" s="78"/>
    </row>
    <row r="50" spans="1:15" x14ac:dyDescent="0.25">
      <c r="A50" s="78"/>
      <c r="B50" s="240"/>
      <c r="C50" s="241"/>
      <c r="D50" s="241" t="s">
        <v>785</v>
      </c>
      <c r="E50" s="298">
        <v>0</v>
      </c>
      <c r="F50" s="1524"/>
      <c r="G50" s="241"/>
      <c r="H50" s="241"/>
      <c r="I50" s="241"/>
      <c r="J50" s="241"/>
      <c r="K50" s="241"/>
      <c r="L50" s="241"/>
      <c r="M50" s="241"/>
      <c r="N50" s="248"/>
      <c r="O50" s="78"/>
    </row>
    <row r="51" spans="1:15" x14ac:dyDescent="0.25">
      <c r="A51" s="78"/>
      <c r="B51" s="259"/>
      <c r="C51" s="258"/>
      <c r="D51" s="258" t="s">
        <v>172</v>
      </c>
      <c r="E51" s="1506">
        <f>SUM(E45:E50)</f>
        <v>1</v>
      </c>
      <c r="F51" s="295"/>
      <c r="G51" s="258"/>
      <c r="H51" s="258"/>
      <c r="I51" s="258"/>
      <c r="J51" s="258"/>
      <c r="K51" s="258"/>
      <c r="L51" s="258"/>
      <c r="M51" s="258"/>
      <c r="N51" s="247"/>
      <c r="O51" s="78"/>
    </row>
    <row r="52" spans="1:15" x14ac:dyDescent="0.25">
      <c r="A52" s="78"/>
      <c r="B52" s="259"/>
      <c r="C52" s="258"/>
      <c r="D52" s="258"/>
      <c r="E52" s="258"/>
      <c r="F52" s="295"/>
      <c r="G52" s="258"/>
      <c r="H52" s="258"/>
      <c r="I52" s="258"/>
      <c r="J52" s="258"/>
      <c r="K52" s="258"/>
      <c r="L52" s="258"/>
      <c r="M52" s="258"/>
      <c r="N52" s="247"/>
      <c r="O52" s="78"/>
    </row>
    <row r="53" spans="1:15" x14ac:dyDescent="0.25">
      <c r="A53" s="78"/>
      <c r="B53" s="2392" t="s">
        <v>1232</v>
      </c>
      <c r="C53" s="2393"/>
      <c r="D53" s="2393"/>
      <c r="E53" s="2393"/>
      <c r="F53" s="2393"/>
      <c r="G53" s="2393"/>
      <c r="H53" s="2393"/>
      <c r="I53" s="2393"/>
      <c r="J53" s="2393"/>
      <c r="K53" s="2393"/>
      <c r="L53" s="2393"/>
      <c r="M53" s="2393"/>
      <c r="N53" s="2394"/>
      <c r="O53" s="78"/>
    </row>
    <row r="54" spans="1:15" x14ac:dyDescent="0.25">
      <c r="A54" s="78"/>
      <c r="B54" s="2395"/>
      <c r="C54" s="2393"/>
      <c r="D54" s="2393"/>
      <c r="E54" s="2393"/>
      <c r="F54" s="2393"/>
      <c r="G54" s="2393"/>
      <c r="H54" s="2393"/>
      <c r="I54" s="2393"/>
      <c r="J54" s="2393"/>
      <c r="K54" s="2393"/>
      <c r="L54" s="2393"/>
      <c r="M54" s="2393"/>
      <c r="N54" s="2394"/>
      <c r="O54" s="78"/>
    </row>
    <row r="55" spans="1:15" x14ac:dyDescent="0.25">
      <c r="A55" s="78"/>
      <c r="B55" s="259"/>
      <c r="C55" s="258"/>
      <c r="D55" s="2362"/>
      <c r="E55" s="2363"/>
      <c r="F55" s="2363"/>
      <c r="G55" s="2363"/>
      <c r="H55" s="2363"/>
      <c r="I55" s="2363"/>
      <c r="J55" s="2363"/>
      <c r="K55" s="2363"/>
      <c r="L55" s="2363"/>
      <c r="M55" s="2364"/>
      <c r="N55" s="247"/>
      <c r="O55" s="78"/>
    </row>
    <row r="56" spans="1:15" x14ac:dyDescent="0.25">
      <c r="A56" s="78"/>
      <c r="B56" s="259"/>
      <c r="C56" s="258"/>
      <c r="D56" s="2365"/>
      <c r="E56" s="2366"/>
      <c r="F56" s="2366"/>
      <c r="G56" s="2366"/>
      <c r="H56" s="2366"/>
      <c r="I56" s="2366"/>
      <c r="J56" s="2366"/>
      <c r="K56" s="2366"/>
      <c r="L56" s="2366"/>
      <c r="M56" s="2367"/>
      <c r="N56" s="247"/>
      <c r="O56" s="78"/>
    </row>
    <row r="57" spans="1:15" x14ac:dyDescent="0.25">
      <c r="A57" s="78"/>
      <c r="B57" s="259"/>
      <c r="C57" s="258"/>
      <c r="D57" s="2365"/>
      <c r="E57" s="2366"/>
      <c r="F57" s="2366"/>
      <c r="G57" s="2366"/>
      <c r="H57" s="2366"/>
      <c r="I57" s="2366"/>
      <c r="J57" s="2366"/>
      <c r="K57" s="2366"/>
      <c r="L57" s="2366"/>
      <c r="M57" s="2367"/>
      <c r="N57" s="247"/>
      <c r="O57" s="78"/>
    </row>
    <row r="58" spans="1:15" x14ac:dyDescent="0.25">
      <c r="A58" s="78"/>
      <c r="B58" s="259"/>
      <c r="C58" s="258"/>
      <c r="D58" s="2365"/>
      <c r="E58" s="2366"/>
      <c r="F58" s="2366"/>
      <c r="G58" s="2366"/>
      <c r="H58" s="2366"/>
      <c r="I58" s="2366"/>
      <c r="J58" s="2366"/>
      <c r="K58" s="2366"/>
      <c r="L58" s="2366"/>
      <c r="M58" s="2367"/>
      <c r="N58" s="247"/>
      <c r="O58" s="78"/>
    </row>
    <row r="59" spans="1:15" x14ac:dyDescent="0.25">
      <c r="A59" s="78"/>
      <c r="B59" s="259"/>
      <c r="C59" s="258"/>
      <c r="D59" s="2365"/>
      <c r="E59" s="2366"/>
      <c r="F59" s="2366"/>
      <c r="G59" s="2366"/>
      <c r="H59" s="2366"/>
      <c r="I59" s="2366"/>
      <c r="J59" s="2366"/>
      <c r="K59" s="2366"/>
      <c r="L59" s="2366"/>
      <c r="M59" s="2367"/>
      <c r="N59" s="247"/>
      <c r="O59" s="78"/>
    </row>
    <row r="60" spans="1:15" x14ac:dyDescent="0.25">
      <c r="A60" s="78"/>
      <c r="B60" s="259"/>
      <c r="C60" s="258"/>
      <c r="D60" s="2365"/>
      <c r="E60" s="2366"/>
      <c r="F60" s="2366"/>
      <c r="G60" s="2366"/>
      <c r="H60" s="2366"/>
      <c r="I60" s="2366"/>
      <c r="J60" s="2366"/>
      <c r="K60" s="2366"/>
      <c r="L60" s="2366"/>
      <c r="M60" s="2367"/>
      <c r="N60" s="247"/>
      <c r="O60" s="78"/>
    </row>
    <row r="61" spans="1:15" x14ac:dyDescent="0.25">
      <c r="A61" s="78"/>
      <c r="B61" s="259"/>
      <c r="C61" s="258"/>
      <c r="D61" s="2365"/>
      <c r="E61" s="2366"/>
      <c r="F61" s="2366"/>
      <c r="G61" s="2366"/>
      <c r="H61" s="2366"/>
      <c r="I61" s="2366"/>
      <c r="J61" s="2366"/>
      <c r="K61" s="2366"/>
      <c r="L61" s="2366"/>
      <c r="M61" s="2367"/>
      <c r="N61" s="247"/>
      <c r="O61" s="78"/>
    </row>
    <row r="62" spans="1:15" x14ac:dyDescent="0.25">
      <c r="A62" s="78"/>
      <c r="B62" s="259"/>
      <c r="C62" s="258"/>
      <c r="D62" s="2365"/>
      <c r="E62" s="2366"/>
      <c r="F62" s="2366"/>
      <c r="G62" s="2366"/>
      <c r="H62" s="2366"/>
      <c r="I62" s="2366"/>
      <c r="J62" s="2366"/>
      <c r="K62" s="2366"/>
      <c r="L62" s="2366"/>
      <c r="M62" s="2367"/>
      <c r="N62" s="247"/>
      <c r="O62" s="78"/>
    </row>
    <row r="63" spans="1:15" x14ac:dyDescent="0.25">
      <c r="A63" s="78"/>
      <c r="B63" s="259"/>
      <c r="C63" s="258"/>
      <c r="D63" s="2365"/>
      <c r="E63" s="2366"/>
      <c r="F63" s="2366"/>
      <c r="G63" s="2366"/>
      <c r="H63" s="2366"/>
      <c r="I63" s="2366"/>
      <c r="J63" s="2366"/>
      <c r="K63" s="2366"/>
      <c r="L63" s="2366"/>
      <c r="M63" s="2367"/>
      <c r="N63" s="247"/>
      <c r="O63" s="78"/>
    </row>
    <row r="64" spans="1:15" x14ac:dyDescent="0.25">
      <c r="A64" s="78"/>
      <c r="B64" s="259"/>
      <c r="C64" s="258"/>
      <c r="D64" s="2365"/>
      <c r="E64" s="2366"/>
      <c r="F64" s="2366"/>
      <c r="G64" s="2366"/>
      <c r="H64" s="2366"/>
      <c r="I64" s="2366"/>
      <c r="J64" s="2366"/>
      <c r="K64" s="2366"/>
      <c r="L64" s="2366"/>
      <c r="M64" s="2367"/>
      <c r="N64" s="247"/>
      <c r="O64" s="78"/>
    </row>
    <row r="65" spans="1:15" x14ac:dyDescent="0.25">
      <c r="A65" s="78"/>
      <c r="B65" s="259"/>
      <c r="C65" s="258"/>
      <c r="D65" s="2368"/>
      <c r="E65" s="2369"/>
      <c r="F65" s="2369"/>
      <c r="G65" s="2369"/>
      <c r="H65" s="2369"/>
      <c r="I65" s="2369"/>
      <c r="J65" s="2369"/>
      <c r="K65" s="2369"/>
      <c r="L65" s="2369"/>
      <c r="M65" s="2370"/>
      <c r="N65" s="247"/>
      <c r="O65" s="78"/>
    </row>
    <row r="66" spans="1:15" x14ac:dyDescent="0.25">
      <c r="A66" s="78"/>
      <c r="B66" s="259"/>
      <c r="C66" s="258"/>
      <c r="D66" s="258"/>
      <c r="E66" s="258"/>
      <c r="F66" s="295"/>
      <c r="G66" s="258"/>
      <c r="H66" s="258"/>
      <c r="I66" s="258"/>
      <c r="J66" s="258"/>
      <c r="K66" s="258"/>
      <c r="L66" s="258"/>
      <c r="M66" s="258"/>
      <c r="N66" s="247"/>
      <c r="O66" s="78"/>
    </row>
    <row r="67" spans="1:15" x14ac:dyDescent="0.25">
      <c r="A67" s="78"/>
      <c r="B67" s="259"/>
      <c r="C67" s="258"/>
      <c r="D67" s="258"/>
      <c r="E67" s="258"/>
      <c r="F67" s="295"/>
      <c r="G67" s="258"/>
      <c r="H67" s="258"/>
      <c r="I67" s="258"/>
      <c r="J67" s="258"/>
      <c r="K67" s="258"/>
      <c r="L67" s="258"/>
      <c r="M67" s="258"/>
      <c r="N67" s="247"/>
      <c r="O67" s="78"/>
    </row>
    <row r="68" spans="1:15" ht="13.8" thickBot="1" x14ac:dyDescent="0.3">
      <c r="A68" s="78"/>
      <c r="B68" s="289"/>
      <c r="C68" s="290"/>
      <c r="D68" s="290"/>
      <c r="E68" s="290"/>
      <c r="F68" s="290"/>
      <c r="G68" s="290"/>
      <c r="H68" s="290"/>
      <c r="I68" s="290"/>
      <c r="J68" s="290"/>
      <c r="K68" s="290"/>
      <c r="L68" s="290"/>
      <c r="M68" s="290"/>
      <c r="N68" s="291"/>
      <c r="O68" s="78"/>
    </row>
    <row r="69" spans="1:15" ht="13.8" thickTop="1" x14ac:dyDescent="0.25">
      <c r="A69" s="78"/>
      <c r="B69" s="78"/>
      <c r="C69" s="78"/>
      <c r="D69" s="78"/>
      <c r="E69" s="78"/>
      <c r="F69" s="78"/>
      <c r="G69" s="78"/>
      <c r="H69" s="78"/>
      <c r="I69" s="78"/>
      <c r="J69" s="78"/>
      <c r="K69" s="78"/>
      <c r="L69" s="78"/>
      <c r="M69" s="78"/>
      <c r="N69" s="78"/>
      <c r="O69" s="78"/>
    </row>
    <row r="70" spans="1:15" x14ac:dyDescent="0.25">
      <c r="A70" s="78"/>
      <c r="B70" s="78"/>
      <c r="C70" s="78"/>
      <c r="D70" s="78"/>
      <c r="E70" s="78"/>
      <c r="F70" s="78"/>
      <c r="G70" s="78"/>
      <c r="H70" s="78"/>
      <c r="I70" s="78"/>
      <c r="J70" s="78"/>
      <c r="K70" s="78"/>
      <c r="L70" s="78"/>
      <c r="M70" s="78"/>
      <c r="N70" s="78"/>
      <c r="O70" s="78"/>
    </row>
    <row r="71" spans="1:15" x14ac:dyDescent="0.25">
      <c r="A71" s="78"/>
      <c r="B71" s="78"/>
      <c r="C71" s="78"/>
      <c r="D71" s="78"/>
      <c r="E71" s="78"/>
      <c r="F71" s="78"/>
      <c r="G71" s="78"/>
      <c r="H71" s="78"/>
      <c r="I71" s="78"/>
      <c r="J71" s="78"/>
      <c r="K71" s="78"/>
      <c r="L71" s="78"/>
      <c r="M71" s="78"/>
      <c r="N71" s="78"/>
      <c r="O71" s="78"/>
    </row>
    <row r="72" spans="1:15" x14ac:dyDescent="0.25">
      <c r="A72" s="78"/>
      <c r="B72" s="78"/>
      <c r="C72" s="78"/>
      <c r="D72" s="78"/>
      <c r="E72" s="78"/>
      <c r="F72" s="78"/>
      <c r="G72" s="78"/>
      <c r="H72" s="78"/>
      <c r="I72" s="78"/>
      <c r="J72" s="78"/>
      <c r="K72" s="78"/>
      <c r="L72" s="78"/>
      <c r="M72" s="78"/>
      <c r="N72" s="78"/>
      <c r="O72" s="78"/>
    </row>
    <row r="73" spans="1:15" x14ac:dyDescent="0.25">
      <c r="A73" s="78"/>
      <c r="B73" s="78"/>
      <c r="C73" s="78"/>
      <c r="D73" s="78"/>
      <c r="E73" s="78"/>
      <c r="F73" s="78"/>
      <c r="G73" s="78"/>
      <c r="H73" s="78"/>
      <c r="I73" s="78"/>
      <c r="J73" s="78"/>
      <c r="K73" s="78"/>
      <c r="L73" s="78"/>
      <c r="M73" s="78"/>
      <c r="N73" s="78"/>
      <c r="O73" s="78"/>
    </row>
    <row r="74" spans="1:15" x14ac:dyDescent="0.25">
      <c r="A74" s="57"/>
      <c r="B74" s="57"/>
      <c r="C74" s="57"/>
      <c r="D74" s="57"/>
      <c r="E74" s="57"/>
      <c r="F74" s="57"/>
      <c r="G74" s="57"/>
      <c r="H74" s="57"/>
      <c r="I74" s="57"/>
      <c r="J74" s="57"/>
      <c r="K74" s="57"/>
      <c r="L74" s="57"/>
      <c r="M74" s="57"/>
      <c r="N74" s="57"/>
      <c r="O74" s="57"/>
    </row>
    <row r="75" spans="1:15" x14ac:dyDescent="0.25">
      <c r="A75" s="57"/>
      <c r="B75" s="57"/>
      <c r="C75" s="57"/>
      <c r="D75" s="57"/>
      <c r="E75" s="57"/>
      <c r="F75" s="57"/>
      <c r="G75" s="57"/>
      <c r="H75" s="57"/>
      <c r="I75" s="57"/>
      <c r="J75" s="57"/>
      <c r="K75" s="57"/>
      <c r="L75" s="57"/>
      <c r="M75" s="57"/>
      <c r="N75" s="57"/>
      <c r="O75" s="57"/>
    </row>
    <row r="76" spans="1:15" s="57" customFormat="1" x14ac:dyDescent="0.25"/>
    <row r="77" spans="1:15" s="57" customFormat="1" x14ac:dyDescent="0.25"/>
    <row r="78" spans="1:15" s="57" customFormat="1" x14ac:dyDescent="0.25"/>
    <row r="79" spans="1:15" s="57" customFormat="1" x14ac:dyDescent="0.25"/>
    <row r="80" spans="1:15" s="57" customFormat="1" x14ac:dyDescent="0.25"/>
    <row r="81" s="57" customFormat="1" x14ac:dyDescent="0.25"/>
    <row r="82" s="57" customFormat="1" x14ac:dyDescent="0.25"/>
    <row r="83" s="57" customFormat="1" x14ac:dyDescent="0.25"/>
    <row r="84" s="57" customFormat="1" x14ac:dyDescent="0.25"/>
    <row r="85" s="57" customFormat="1" x14ac:dyDescent="0.25"/>
    <row r="86" s="57" customFormat="1" x14ac:dyDescent="0.25"/>
    <row r="87" s="57" customFormat="1" x14ac:dyDescent="0.25"/>
    <row r="88" s="57" customFormat="1" x14ac:dyDescent="0.25"/>
    <row r="89" s="57" customFormat="1" x14ac:dyDescent="0.25"/>
    <row r="90" s="57" customFormat="1" x14ac:dyDescent="0.25"/>
    <row r="91" s="57" customFormat="1" x14ac:dyDescent="0.25"/>
    <row r="92" s="57" customFormat="1" x14ac:dyDescent="0.25"/>
    <row r="93" s="57" customFormat="1" x14ac:dyDescent="0.25"/>
    <row r="94" s="57" customFormat="1" x14ac:dyDescent="0.25"/>
    <row r="95" s="57" customFormat="1" x14ac:dyDescent="0.25"/>
    <row r="96" s="57" customFormat="1" x14ac:dyDescent="0.25"/>
    <row r="97" s="57" customFormat="1" x14ac:dyDescent="0.25"/>
    <row r="98" s="57" customFormat="1" x14ac:dyDescent="0.25"/>
    <row r="99" s="57" customFormat="1" x14ac:dyDescent="0.25"/>
    <row r="100" s="57" customFormat="1" x14ac:dyDescent="0.25"/>
    <row r="101" s="57" customFormat="1" x14ac:dyDescent="0.25"/>
    <row r="102" s="57" customFormat="1" x14ac:dyDescent="0.25"/>
    <row r="103" s="57" customFormat="1" x14ac:dyDescent="0.25"/>
    <row r="104" s="57" customFormat="1" x14ac:dyDescent="0.25"/>
    <row r="105" s="57" customFormat="1" x14ac:dyDescent="0.25"/>
    <row r="106" s="57" customFormat="1" x14ac:dyDescent="0.25"/>
    <row r="107" s="57" customFormat="1" x14ac:dyDescent="0.25"/>
    <row r="108" s="57" customFormat="1" x14ac:dyDescent="0.25"/>
    <row r="109" s="57" customFormat="1" x14ac:dyDescent="0.25"/>
    <row r="110" s="57" customFormat="1" x14ac:dyDescent="0.25"/>
    <row r="111" s="57" customFormat="1" x14ac:dyDescent="0.25"/>
    <row r="112" s="57" customFormat="1" x14ac:dyDescent="0.25"/>
    <row r="113" s="57" customFormat="1" x14ac:dyDescent="0.25"/>
    <row r="114" s="57" customFormat="1" x14ac:dyDescent="0.25"/>
    <row r="115" s="57" customFormat="1" x14ac:dyDescent="0.25"/>
    <row r="116" s="57" customFormat="1" x14ac:dyDescent="0.25"/>
    <row r="117" s="57" customFormat="1" x14ac:dyDescent="0.25"/>
    <row r="118" s="57" customFormat="1" x14ac:dyDescent="0.25"/>
    <row r="119" s="57" customFormat="1" x14ac:dyDescent="0.25"/>
    <row r="120" s="57" customFormat="1" x14ac:dyDescent="0.25"/>
    <row r="121" s="57" customFormat="1" x14ac:dyDescent="0.25"/>
    <row r="122" s="57" customFormat="1" x14ac:dyDescent="0.25"/>
    <row r="123" s="57" customFormat="1" x14ac:dyDescent="0.25"/>
    <row r="124" s="57" customFormat="1" x14ac:dyDescent="0.25"/>
    <row r="125" s="57" customFormat="1" x14ac:dyDescent="0.25"/>
    <row r="126" s="57" customFormat="1" x14ac:dyDescent="0.25"/>
    <row r="127" s="57" customFormat="1" x14ac:dyDescent="0.25"/>
    <row r="128" s="57" customFormat="1" x14ac:dyDescent="0.25"/>
    <row r="129" s="57" customFormat="1" x14ac:dyDescent="0.25"/>
    <row r="130" s="57" customFormat="1" x14ac:dyDescent="0.25"/>
    <row r="131" s="57" customFormat="1" x14ac:dyDescent="0.25"/>
    <row r="132" s="57" customFormat="1" x14ac:dyDescent="0.25"/>
    <row r="133" s="57" customFormat="1" x14ac:dyDescent="0.25"/>
    <row r="134" s="57" customFormat="1" x14ac:dyDescent="0.25"/>
    <row r="135" s="57" customFormat="1" x14ac:dyDescent="0.25"/>
    <row r="136" s="57" customFormat="1" x14ac:dyDescent="0.25"/>
    <row r="137" s="57" customFormat="1" x14ac:dyDescent="0.25"/>
    <row r="138" s="57" customFormat="1" x14ac:dyDescent="0.25"/>
    <row r="139" s="57" customFormat="1" x14ac:dyDescent="0.25"/>
    <row r="140" s="57" customFormat="1" x14ac:dyDescent="0.25"/>
    <row r="141" s="57" customFormat="1" x14ac:dyDescent="0.25"/>
    <row r="142" s="57" customFormat="1" x14ac:dyDescent="0.25"/>
    <row r="143" s="57" customFormat="1" x14ac:dyDescent="0.25"/>
    <row r="144" s="57" customFormat="1" x14ac:dyDescent="0.25"/>
    <row r="145" s="57" customFormat="1" x14ac:dyDescent="0.25"/>
    <row r="146" s="57" customFormat="1" x14ac:dyDescent="0.25"/>
    <row r="147" s="57" customFormat="1" x14ac:dyDescent="0.25"/>
    <row r="148" s="57" customFormat="1" x14ac:dyDescent="0.25"/>
    <row r="149" s="57" customFormat="1" x14ac:dyDescent="0.25"/>
    <row r="150" s="57" customFormat="1" x14ac:dyDescent="0.25"/>
    <row r="151" s="57" customFormat="1" x14ac:dyDescent="0.25"/>
    <row r="152" s="57" customFormat="1" x14ac:dyDescent="0.25"/>
    <row r="153" s="57" customFormat="1" x14ac:dyDescent="0.25"/>
    <row r="154" s="57" customFormat="1" x14ac:dyDescent="0.25"/>
    <row r="155" s="57" customFormat="1" x14ac:dyDescent="0.25"/>
    <row r="156" s="57" customFormat="1" x14ac:dyDescent="0.25"/>
    <row r="157" s="57" customFormat="1" x14ac:dyDescent="0.25"/>
    <row r="158" s="57" customFormat="1" x14ac:dyDescent="0.25"/>
    <row r="159" s="57" customFormat="1" x14ac:dyDescent="0.25"/>
    <row r="160" s="57" customFormat="1" x14ac:dyDescent="0.25"/>
    <row r="161" s="57" customFormat="1" x14ac:dyDescent="0.25"/>
    <row r="162" s="57" customFormat="1" x14ac:dyDescent="0.25"/>
    <row r="163" s="57" customFormat="1" x14ac:dyDescent="0.25"/>
    <row r="164" s="57" customFormat="1" x14ac:dyDescent="0.25"/>
    <row r="165" s="57" customFormat="1" x14ac:dyDescent="0.25"/>
    <row r="166" s="57" customFormat="1" x14ac:dyDescent="0.25"/>
    <row r="167" s="57" customFormat="1" x14ac:dyDescent="0.25"/>
    <row r="168" s="57" customFormat="1" x14ac:dyDescent="0.25"/>
    <row r="169" s="57" customFormat="1" x14ac:dyDescent="0.25"/>
    <row r="170" s="57" customFormat="1" x14ac:dyDescent="0.25"/>
    <row r="171" s="57" customFormat="1" x14ac:dyDescent="0.25"/>
    <row r="172" s="57" customFormat="1" x14ac:dyDescent="0.25"/>
    <row r="173" s="57" customFormat="1" x14ac:dyDescent="0.25"/>
    <row r="174" s="57" customFormat="1" x14ac:dyDescent="0.25"/>
    <row r="175" s="57" customFormat="1" x14ac:dyDescent="0.25"/>
    <row r="176" s="57" customFormat="1" x14ac:dyDescent="0.25"/>
    <row r="177" s="57" customFormat="1" x14ac:dyDescent="0.25"/>
    <row r="178" s="57" customFormat="1" x14ac:dyDescent="0.25"/>
    <row r="179" s="57" customFormat="1" x14ac:dyDescent="0.25"/>
    <row r="180" s="57" customFormat="1" x14ac:dyDescent="0.25"/>
    <row r="181" s="57" customFormat="1" x14ac:dyDescent="0.25"/>
    <row r="182" s="57" customFormat="1" x14ac:dyDescent="0.25"/>
    <row r="183" s="57" customFormat="1" x14ac:dyDescent="0.25"/>
    <row r="184" s="57" customFormat="1" x14ac:dyDescent="0.25"/>
    <row r="185" s="57" customFormat="1" x14ac:dyDescent="0.25"/>
    <row r="186" s="57" customFormat="1" x14ac:dyDescent="0.25"/>
    <row r="187" s="57" customFormat="1" x14ac:dyDescent="0.25"/>
    <row r="188" s="57" customFormat="1" x14ac:dyDescent="0.25"/>
    <row r="189" s="57" customFormat="1" x14ac:dyDescent="0.25"/>
    <row r="190" s="57" customFormat="1" x14ac:dyDescent="0.25"/>
    <row r="191" s="57" customFormat="1" x14ac:dyDescent="0.25"/>
    <row r="192" s="57" customFormat="1" x14ac:dyDescent="0.25"/>
    <row r="193" s="57" customFormat="1" x14ac:dyDescent="0.25"/>
    <row r="194" s="57" customFormat="1" x14ac:dyDescent="0.25"/>
    <row r="195" s="57" customFormat="1" x14ac:dyDescent="0.25"/>
    <row r="196" s="57" customFormat="1" x14ac:dyDescent="0.25"/>
    <row r="197" s="57" customFormat="1" x14ac:dyDescent="0.25"/>
    <row r="198" s="57" customFormat="1" x14ac:dyDescent="0.25"/>
    <row r="199" s="57" customFormat="1" x14ac:dyDescent="0.25"/>
    <row r="200" s="57" customFormat="1" x14ac:dyDescent="0.25"/>
    <row r="201" s="57" customFormat="1" x14ac:dyDescent="0.25"/>
    <row r="202" s="57" customFormat="1" x14ac:dyDescent="0.25"/>
    <row r="203" s="57" customFormat="1" x14ac:dyDescent="0.25"/>
    <row r="204" s="57" customFormat="1" x14ac:dyDescent="0.25"/>
    <row r="205" s="57" customFormat="1" x14ac:dyDescent="0.25"/>
    <row r="206" s="57" customFormat="1" x14ac:dyDescent="0.25"/>
    <row r="207" s="57" customFormat="1" x14ac:dyDescent="0.25"/>
    <row r="208" s="57" customFormat="1" x14ac:dyDescent="0.25"/>
    <row r="209" s="57" customFormat="1" x14ac:dyDescent="0.25"/>
    <row r="210" s="57" customFormat="1" x14ac:dyDescent="0.25"/>
    <row r="211" s="57" customFormat="1" x14ac:dyDescent="0.25"/>
    <row r="212" s="57" customFormat="1" x14ac:dyDescent="0.25"/>
    <row r="213" s="57" customFormat="1" x14ac:dyDescent="0.25"/>
    <row r="214" s="57" customFormat="1" x14ac:dyDescent="0.25"/>
    <row r="215" s="57" customFormat="1" x14ac:dyDescent="0.25"/>
    <row r="216" s="57" customFormat="1" x14ac:dyDescent="0.25"/>
    <row r="217" s="57" customFormat="1" x14ac:dyDescent="0.25"/>
    <row r="218" s="57" customFormat="1" x14ac:dyDescent="0.25"/>
    <row r="219" s="57" customFormat="1" x14ac:dyDescent="0.25"/>
    <row r="220" s="57" customFormat="1" x14ac:dyDescent="0.25"/>
    <row r="221" s="57" customFormat="1" x14ac:dyDescent="0.25"/>
    <row r="222" s="57" customFormat="1" x14ac:dyDescent="0.25"/>
    <row r="223" s="57" customFormat="1" x14ac:dyDescent="0.25"/>
    <row r="224" s="57" customFormat="1" x14ac:dyDescent="0.25"/>
    <row r="225" s="57" customFormat="1" x14ac:dyDescent="0.25"/>
    <row r="226" s="57" customFormat="1" x14ac:dyDescent="0.25"/>
    <row r="227" s="57" customFormat="1" x14ac:dyDescent="0.25"/>
    <row r="228" s="57" customFormat="1" x14ac:dyDescent="0.25"/>
    <row r="229" s="57" customFormat="1" x14ac:dyDescent="0.25"/>
    <row r="230" s="57" customFormat="1" x14ac:dyDescent="0.25"/>
    <row r="231" s="57" customFormat="1" x14ac:dyDescent="0.25"/>
    <row r="232" s="57" customFormat="1" x14ac:dyDescent="0.25"/>
    <row r="233" s="57" customFormat="1" x14ac:dyDescent="0.25"/>
    <row r="234" s="57" customFormat="1" x14ac:dyDescent="0.25"/>
    <row r="235" s="57" customFormat="1" x14ac:dyDescent="0.25"/>
    <row r="236" s="57" customFormat="1" x14ac:dyDescent="0.25"/>
    <row r="237" s="57" customFormat="1" x14ac:dyDescent="0.25"/>
    <row r="238" s="57" customFormat="1" x14ac:dyDescent="0.25"/>
    <row r="239" s="57" customFormat="1" x14ac:dyDescent="0.25"/>
    <row r="240" s="57" customFormat="1" x14ac:dyDescent="0.25"/>
    <row r="241" s="57" customFormat="1" x14ac:dyDescent="0.25"/>
    <row r="242" s="57" customFormat="1" x14ac:dyDescent="0.25"/>
    <row r="243" s="57" customFormat="1" x14ac:dyDescent="0.25"/>
    <row r="244" s="57" customFormat="1" x14ac:dyDescent="0.25"/>
    <row r="245" s="57" customFormat="1" x14ac:dyDescent="0.25"/>
    <row r="246" s="57" customFormat="1" x14ac:dyDescent="0.25"/>
    <row r="247" s="57" customFormat="1" x14ac:dyDescent="0.25"/>
    <row r="248" s="57" customFormat="1" x14ac:dyDescent="0.25"/>
  </sheetData>
  <sheetProtection password="E593" sheet="1" objects="1" scenarios="1"/>
  <customSheetViews>
    <customSheetView guid="{B63065A1-7838-417A-8679-08A8A2B79CD8}" scale="85" showPageBreaks="1" showGridLines="0" fitToPage="1" printArea="1">
      <selection activeCell="I3" sqref="I3"/>
      <pageMargins left="0" right="0" top="0.5" bottom="0" header="0" footer="0"/>
      <printOptions horizontalCentered="1"/>
      <pageSetup scale="78" orientation="landscape" blackAndWhite="1" r:id="rId1"/>
      <headerFooter alignWithMargins="0"/>
    </customSheetView>
  </customSheetViews>
  <mergeCells count="9">
    <mergeCell ref="B53:N54"/>
    <mergeCell ref="D55:M65"/>
    <mergeCell ref="K15:K16"/>
    <mergeCell ref="L15:L16"/>
    <mergeCell ref="D42:F42"/>
    <mergeCell ref="G15:G16"/>
    <mergeCell ref="H15:H16"/>
    <mergeCell ref="I15:I16"/>
    <mergeCell ref="J15:J16"/>
  </mergeCells>
  <dataValidations count="2">
    <dataValidation type="whole" allowBlank="1" showInputMessage="1" showErrorMessage="1" errorTitle="Warning!" error="This cell must remain unchanged!" promptTitle="Warning!" prompt="Do not Change this cell!" sqref="CV2">
      <formula1>1</formula1>
      <formula2>2</formula2>
    </dataValidation>
    <dataValidation allowBlank="1" showErrorMessage="1" prompt="Enter mm/dd/yyyy" sqref="L11"/>
  </dataValidations>
  <printOptions horizontalCentered="1"/>
  <pageMargins left="0" right="0" top="0.5" bottom="0" header="0" footer="0"/>
  <pageSetup scale="62" fitToHeight="0"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6497" r:id="rId5" name="Button 1">
              <controlPr defaultSize="0" print="0" autoFill="0" autoPict="0" macro="[0]!BackMain">
                <anchor moveWithCells="1">
                  <from>
                    <xdr:col>1</xdr:col>
                    <xdr:colOff>38100</xdr:colOff>
                    <xdr:row>0</xdr:row>
                    <xdr:rowOff>83820</xdr:rowOff>
                  </from>
                  <to>
                    <xdr:col>3</xdr:col>
                    <xdr:colOff>350520</xdr:colOff>
                    <xdr:row>1</xdr:row>
                    <xdr:rowOff>22860</xdr:rowOff>
                  </to>
                </anchor>
              </controlPr>
            </control>
          </mc:Choice>
        </mc:AlternateContent>
        <mc:AlternateContent xmlns:mc="http://schemas.openxmlformats.org/markup-compatibility/2006">
          <mc:Choice Requires="x14">
            <control shapeId="106498" r:id="rId6" name="Button 2">
              <controlPr defaultSize="0" print="0" autoFill="0" autoPict="0" macro="[0]!BackMain">
                <anchor moveWithCells="1">
                  <from>
                    <xdr:col>12</xdr:col>
                    <xdr:colOff>929640</xdr:colOff>
                    <xdr:row>68</xdr:row>
                    <xdr:rowOff>175260</xdr:rowOff>
                  </from>
                  <to>
                    <xdr:col>14</xdr:col>
                    <xdr:colOff>30480</xdr:colOff>
                    <xdr:row>71</xdr:row>
                    <xdr:rowOff>76200</xdr:rowOff>
                  </to>
                </anchor>
              </controlPr>
            </control>
          </mc:Choice>
        </mc:AlternateContent>
        <mc:AlternateContent xmlns:mc="http://schemas.openxmlformats.org/markup-compatibility/2006">
          <mc:Choice Requires="x14">
            <control shapeId="106499" r:id="rId7" name="Button 3">
              <controlPr defaultSize="0" print="0" autoFill="0" autoPict="0" macro="[0]!PrintAttach3B">
                <anchor moveWithCells="1">
                  <from>
                    <xdr:col>12</xdr:col>
                    <xdr:colOff>350520</xdr:colOff>
                    <xdr:row>0</xdr:row>
                    <xdr:rowOff>99060</xdr:rowOff>
                  </from>
                  <to>
                    <xdr:col>14</xdr:col>
                    <xdr:colOff>7620</xdr:colOff>
                    <xdr:row>1</xdr:row>
                    <xdr:rowOff>60960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O190"/>
  <sheetViews>
    <sheetView showGridLines="0" zoomScaleNormal="100" workbookViewId="0">
      <selection activeCell="F16" sqref="F16"/>
    </sheetView>
  </sheetViews>
  <sheetFormatPr defaultColWidth="9.109375" defaultRowHeight="13.2" x14ac:dyDescent="0.25"/>
  <cols>
    <col min="1" max="1" width="9.109375" style="15"/>
    <col min="2" max="2" width="22.109375" style="15" customWidth="1"/>
    <col min="3" max="3" width="29.33203125" style="15" bestFit="1" customWidth="1"/>
    <col min="4" max="4" width="16.109375" style="15" bestFit="1" customWidth="1"/>
    <col min="5" max="5" width="5.6640625" style="15" customWidth="1"/>
    <col min="6" max="7" width="12" style="15" customWidth="1"/>
    <col min="8" max="8" width="14" style="15" customWidth="1"/>
    <col min="9" max="9" width="12" style="15" customWidth="1"/>
    <col min="10" max="10" width="13.109375" style="15" customWidth="1"/>
    <col min="11" max="16384" width="9.109375" style="15"/>
  </cols>
  <sheetData>
    <row r="1" spans="1:15" ht="29.4" customHeight="1" x14ac:dyDescent="0.25">
      <c r="A1" s="299"/>
      <c r="B1" s="885"/>
      <c r="C1" s="2408"/>
      <c r="D1" s="2409"/>
      <c r="E1" s="2409"/>
      <c r="F1" s="2409"/>
      <c r="G1" s="2409"/>
      <c r="H1" s="2409"/>
      <c r="I1" s="2409"/>
      <c r="J1" s="2409"/>
      <c r="K1" s="299"/>
      <c r="L1" s="182"/>
      <c r="M1" s="299"/>
    </row>
    <row r="2" spans="1:15" x14ac:dyDescent="0.25">
      <c r="A2" s="299"/>
      <c r="B2" s="885"/>
      <c r="C2" s="2408"/>
      <c r="D2" s="2409"/>
      <c r="E2" s="2409"/>
      <c r="F2" s="2409"/>
      <c r="G2" s="2409"/>
      <c r="H2" s="2409"/>
      <c r="I2" s="2409"/>
      <c r="J2" s="2409"/>
      <c r="K2" s="299"/>
      <c r="L2" s="299"/>
      <c r="M2" s="299"/>
    </row>
    <row r="3" spans="1:15" ht="15.9" customHeight="1" x14ac:dyDescent="0.25">
      <c r="A3" s="299"/>
      <c r="B3" s="885"/>
      <c r="C3" s="2410" t="str">
        <f>Utility</f>
        <v>Cleveland Water Utility</v>
      </c>
      <c r="D3" s="2411"/>
      <c r="E3" s="2411"/>
      <c r="F3" s="2411"/>
      <c r="G3" s="2411"/>
      <c r="H3" s="2411"/>
      <c r="I3" s="2411"/>
      <c r="J3" s="2411"/>
      <c r="K3" s="299"/>
      <c r="L3" s="299"/>
      <c r="M3" s="299"/>
    </row>
    <row r="4" spans="1:15" s="2043" customFormat="1" ht="13.2" customHeight="1" x14ac:dyDescent="0.3">
      <c r="A4" s="2065"/>
      <c r="B4" s="2075" t="str">
        <f>CONCATENATE("Historical data  ",IF(Measurement=2,"(Mgals)","(CCF)"))</f>
        <v>Historical data  (Mgals)</v>
      </c>
      <c r="C4" s="2410" t="s">
        <v>214</v>
      </c>
      <c r="D4" s="2411"/>
      <c r="E4" s="2411"/>
      <c r="F4" s="2411"/>
      <c r="G4" s="2411"/>
      <c r="H4" s="2411"/>
      <c r="I4" s="2411"/>
      <c r="J4" s="2411"/>
      <c r="K4" s="2065"/>
      <c r="L4" s="2065"/>
      <c r="M4" s="2065"/>
    </row>
    <row r="5" spans="1:15" x14ac:dyDescent="0.25">
      <c r="A5" s="299"/>
      <c r="B5" s="2052" t="str">
        <f>TestYear &amp; " Test Year"</f>
        <v>2023 Test Year</v>
      </c>
      <c r="C5" s="2415" t="s">
        <v>215</v>
      </c>
      <c r="D5" s="2415"/>
      <c r="E5" s="2415"/>
      <c r="F5" s="2415"/>
      <c r="G5" s="2415"/>
      <c r="H5" s="2415"/>
      <c r="I5" s="2415"/>
      <c r="J5" s="2415"/>
      <c r="K5" s="299"/>
      <c r="L5" s="182" t="s">
        <v>956</v>
      </c>
      <c r="M5" s="299"/>
    </row>
    <row r="6" spans="1:15" ht="15.6" customHeight="1" x14ac:dyDescent="0.25">
      <c r="A6" s="299"/>
      <c r="B6" s="2077"/>
      <c r="C6" s="2083" t="s">
        <v>1278</v>
      </c>
      <c r="D6" s="2078"/>
      <c r="E6" s="2078"/>
      <c r="F6" s="2078"/>
      <c r="G6" s="2078"/>
      <c r="H6" s="2078"/>
      <c r="I6" s="2078"/>
      <c r="J6" s="2078"/>
      <c r="K6" s="2078"/>
      <c r="L6" s="2079"/>
      <c r="M6" s="299"/>
    </row>
    <row r="7" spans="1:15" x14ac:dyDescent="0.25">
      <c r="A7" s="299"/>
      <c r="B7" s="1801"/>
      <c r="C7" s="2076" t="s">
        <v>1270</v>
      </c>
      <c r="D7" s="1082"/>
      <c r="E7" s="1082"/>
      <c r="F7" s="1082"/>
      <c r="G7" s="1082"/>
      <c r="H7" s="1082"/>
      <c r="I7" s="1082"/>
      <c r="J7" s="1082"/>
      <c r="K7" s="1082"/>
      <c r="L7" s="2080"/>
      <c r="M7" s="299"/>
    </row>
    <row r="8" spans="1:15" x14ac:dyDescent="0.25">
      <c r="A8" s="299"/>
      <c r="B8" s="1801"/>
      <c r="C8" s="2076" t="s">
        <v>1271</v>
      </c>
      <c r="D8" s="1082"/>
      <c r="E8" s="1082"/>
      <c r="F8" s="1082"/>
      <c r="G8" s="1082"/>
      <c r="H8" s="1082"/>
      <c r="I8" s="1082"/>
      <c r="J8" s="1082"/>
      <c r="K8" s="1082"/>
      <c r="L8" s="2080"/>
      <c r="M8" s="299"/>
    </row>
    <row r="9" spans="1:15" ht="34.5" customHeight="1" x14ac:dyDescent="0.25">
      <c r="A9" s="299"/>
      <c r="B9" s="2082" t="s">
        <v>201</v>
      </c>
      <c r="C9" s="1089" t="s">
        <v>216</v>
      </c>
      <c r="D9" s="1089"/>
      <c r="E9" s="1089"/>
      <c r="F9" s="1092">
        <v>0</v>
      </c>
      <c r="G9" s="1092">
        <f>Data!A227</f>
        <v>0</v>
      </c>
      <c r="H9" s="1092">
        <f>Data!A228</f>
        <v>0</v>
      </c>
      <c r="I9" s="1092">
        <f>Data!A229</f>
        <v>0</v>
      </c>
      <c r="J9" s="1092">
        <f>Data!A230</f>
        <v>0</v>
      </c>
      <c r="K9" s="1089" t="s">
        <v>172</v>
      </c>
      <c r="L9" s="2081"/>
      <c r="M9" s="299"/>
    </row>
    <row r="10" spans="1:15" x14ac:dyDescent="0.25">
      <c r="A10" s="299"/>
      <c r="B10" s="1797"/>
      <c r="C10" s="1080"/>
      <c r="D10" s="1080"/>
      <c r="E10" s="1081"/>
      <c r="F10" s="1081"/>
      <c r="G10" s="1081"/>
      <c r="H10" s="1081"/>
      <c r="I10" s="1081"/>
      <c r="J10" s="1081"/>
      <c r="K10" s="1081"/>
      <c r="L10" s="1798"/>
      <c r="M10" s="299"/>
    </row>
    <row r="11" spans="1:15" x14ac:dyDescent="0.25">
      <c r="A11" s="299"/>
      <c r="B11" s="1799">
        <f>Data!B225</f>
        <v>2010</v>
      </c>
      <c r="C11" s="1082"/>
      <c r="D11" s="1082"/>
      <c r="E11" s="1084"/>
      <c r="F11" s="1083">
        <v>0</v>
      </c>
      <c r="G11" s="1083">
        <f>IF(Measurement=2, Data!B227, Data!B227/0.748)</f>
        <v>0</v>
      </c>
      <c r="H11" s="1083">
        <f>IF(Measurement=2, Data!B228, Data!B228/0.748)</f>
        <v>0</v>
      </c>
      <c r="I11" s="1083">
        <f>IF(Measurement=2, Data!B229, Data!B229/0.748)</f>
        <v>0</v>
      </c>
      <c r="J11" s="1083">
        <f>IF(Measurement=2, Data!B230, Data!B230/0.748)</f>
        <v>0</v>
      </c>
      <c r="K11" s="1083">
        <f>SUM(F11:J11)</f>
        <v>0</v>
      </c>
      <c r="L11" s="1800"/>
      <c r="M11" s="299"/>
    </row>
    <row r="12" spans="1:15" x14ac:dyDescent="0.25">
      <c r="A12" s="299"/>
      <c r="B12" s="1799">
        <f>Data!C225</f>
        <v>2011</v>
      </c>
      <c r="C12" s="1082"/>
      <c r="D12" s="1082"/>
      <c r="E12" s="1084"/>
      <c r="F12" s="1083">
        <v>0</v>
      </c>
      <c r="G12" s="1083">
        <f>IF(Measurement=2, Data!C227, Data!C227/0.748)</f>
        <v>0</v>
      </c>
      <c r="H12" s="1083">
        <f>IF(Measurement=2, Data!C228, Data!C228/0.748)</f>
        <v>0</v>
      </c>
      <c r="I12" s="1085">
        <f>IF(Measurement=2, Data!C229, Data!C229/0.748)</f>
        <v>0</v>
      </c>
      <c r="J12" s="1083">
        <f>IF(Measurement=2, Data!C230, Data!C230/0.748)</f>
        <v>0</v>
      </c>
      <c r="K12" s="1083">
        <f t="shared" ref="K12:K20" si="0">SUM(F12:J12)</f>
        <v>0</v>
      </c>
      <c r="L12" s="1800"/>
      <c r="M12" s="299"/>
      <c r="O12" s="26"/>
    </row>
    <row r="13" spans="1:15" x14ac:dyDescent="0.25">
      <c r="A13" s="299"/>
      <c r="B13" s="1799">
        <f>Data!D225</f>
        <v>2012</v>
      </c>
      <c r="C13" s="1082"/>
      <c r="D13" s="1082"/>
      <c r="E13" s="1084"/>
      <c r="F13" s="1083">
        <v>0</v>
      </c>
      <c r="G13" s="1083">
        <f>IF(Measurement=2, Data!D227, Data!D227/0.748)</f>
        <v>0</v>
      </c>
      <c r="H13" s="1083">
        <f>IF(Measurement=2, Data!D228, Data!D228/0.748)</f>
        <v>0</v>
      </c>
      <c r="I13" s="1085">
        <f>IF(Measurement=2, Data!D229, Data!D229/0.748)</f>
        <v>0</v>
      </c>
      <c r="J13" s="1083">
        <f>IF(Measurement=2, Data!D230, Data!D230/0.748)</f>
        <v>0</v>
      </c>
      <c r="K13" s="1083">
        <f t="shared" si="0"/>
        <v>0</v>
      </c>
      <c r="L13" s="1800"/>
      <c r="M13" s="299"/>
    </row>
    <row r="14" spans="1:15" x14ac:dyDescent="0.25">
      <c r="A14" s="299"/>
      <c r="B14" s="1799">
        <f>Data!E225</f>
        <v>2013</v>
      </c>
      <c r="C14" s="1082"/>
      <c r="D14" s="1082"/>
      <c r="E14" s="1084"/>
      <c r="F14" s="1083">
        <v>0</v>
      </c>
      <c r="G14" s="1083">
        <f>IF(Measurement=2, Data!E227, Data!E227/0.748)</f>
        <v>0</v>
      </c>
      <c r="H14" s="1083">
        <f>IF(Measurement=2, Data!E228, Data!E228/0.748)</f>
        <v>0</v>
      </c>
      <c r="I14" s="1085">
        <f>IF(Measurement=2, Data!E229, Data!E229/0.748)</f>
        <v>0</v>
      </c>
      <c r="J14" s="1083">
        <f>IF(Measurement=2, Data!E230, Data!E230/0.748)</f>
        <v>0</v>
      </c>
      <c r="K14" s="1083">
        <f t="shared" si="0"/>
        <v>0</v>
      </c>
      <c r="L14" s="1800"/>
      <c r="M14" s="299"/>
    </row>
    <row r="15" spans="1:15" x14ac:dyDescent="0.25">
      <c r="A15" s="299"/>
      <c r="B15" s="1799">
        <f>Data!F225</f>
        <v>2014</v>
      </c>
      <c r="C15" s="1082"/>
      <c r="D15" s="1082"/>
      <c r="E15" s="1084"/>
      <c r="F15" s="1083">
        <v>0</v>
      </c>
      <c r="G15" s="1083">
        <f>IF(Measurement=2, Data!F227, Data!F227/0.748)</f>
        <v>0</v>
      </c>
      <c r="H15" s="1083">
        <f>IF(Measurement=2, Data!F228, Data!F228/0.748)</f>
        <v>0</v>
      </c>
      <c r="I15" s="1083">
        <f>IF(Measurement=2, Data!F229, Data!F229/0.748)</f>
        <v>0</v>
      </c>
      <c r="J15" s="1083">
        <f>IF(Measurement=2, Data!F230, Data!F230/0.748)</f>
        <v>0</v>
      </c>
      <c r="K15" s="1083">
        <f t="shared" si="0"/>
        <v>0</v>
      </c>
      <c r="L15" s="1800"/>
      <c r="M15" s="299"/>
    </row>
    <row r="16" spans="1:15" x14ac:dyDescent="0.25">
      <c r="A16" s="299"/>
      <c r="B16" s="1801"/>
      <c r="C16" s="1082"/>
      <c r="D16" s="1082"/>
      <c r="E16" s="1086"/>
      <c r="F16" s="1086"/>
      <c r="G16" s="1086"/>
      <c r="H16" s="1086"/>
      <c r="I16" s="1086"/>
      <c r="J16" s="1086"/>
      <c r="K16" s="1083"/>
      <c r="L16" s="1802"/>
      <c r="M16" s="299"/>
    </row>
    <row r="17" spans="1:13" x14ac:dyDescent="0.25">
      <c r="A17" s="299"/>
      <c r="B17" s="1803" t="s">
        <v>217</v>
      </c>
      <c r="C17" s="1082"/>
      <c r="D17" s="1082"/>
      <c r="E17" s="1084"/>
      <c r="F17" s="1083">
        <f>AVERAGE(F11:F15)</f>
        <v>0</v>
      </c>
      <c r="G17" s="1083">
        <f>AVERAGE(G11:G15)</f>
        <v>0</v>
      </c>
      <c r="H17" s="1083">
        <f>AVERAGE(H11:H15)</f>
        <v>0</v>
      </c>
      <c r="I17" s="1083">
        <f>AVERAGE(I11:I15)</f>
        <v>0</v>
      </c>
      <c r="J17" s="1083">
        <f>AVERAGE(J11:J15)</f>
        <v>0</v>
      </c>
      <c r="K17" s="1083">
        <f t="shared" si="0"/>
        <v>0</v>
      </c>
      <c r="L17" s="1800"/>
      <c r="M17" s="299"/>
    </row>
    <row r="18" spans="1:13" x14ac:dyDescent="0.25">
      <c r="A18" s="299"/>
      <c r="B18" s="1803" t="s">
        <v>218</v>
      </c>
      <c r="C18" s="1082"/>
      <c r="D18" s="1082"/>
      <c r="E18" s="1084"/>
      <c r="F18" s="1083">
        <f>AVERAGE(F12:F15)</f>
        <v>0</v>
      </c>
      <c r="G18" s="1083">
        <f>AVERAGE(G12:G15)</f>
        <v>0</v>
      </c>
      <c r="H18" s="1083">
        <f>AVERAGE(H12:H15)</f>
        <v>0</v>
      </c>
      <c r="I18" s="1083">
        <f>AVERAGE(I12:I15)</f>
        <v>0</v>
      </c>
      <c r="J18" s="1083">
        <f>AVERAGE(J12:J15)</f>
        <v>0</v>
      </c>
      <c r="K18" s="1083">
        <f t="shared" si="0"/>
        <v>0</v>
      </c>
      <c r="L18" s="1800"/>
      <c r="M18" s="299"/>
    </row>
    <row r="19" spans="1:13" x14ac:dyDescent="0.25">
      <c r="A19" s="299"/>
      <c r="B19" s="1803" t="s">
        <v>219</v>
      </c>
      <c r="C19" s="1082"/>
      <c r="D19" s="1082"/>
      <c r="E19" s="1084"/>
      <c r="F19" s="1083">
        <f>AVERAGE(F13:F15)</f>
        <v>0</v>
      </c>
      <c r="G19" s="1083">
        <f>AVERAGE(G13:G15)</f>
        <v>0</v>
      </c>
      <c r="H19" s="1083">
        <f>AVERAGE(H13:H15)</f>
        <v>0</v>
      </c>
      <c r="I19" s="1083">
        <f>AVERAGE(I13:I15)</f>
        <v>0</v>
      </c>
      <c r="J19" s="1083">
        <f>AVERAGE(J13:J15)</f>
        <v>0</v>
      </c>
      <c r="K19" s="1083">
        <f t="shared" si="0"/>
        <v>0</v>
      </c>
      <c r="L19" s="1800"/>
      <c r="M19" s="299"/>
    </row>
    <row r="20" spans="1:13" x14ac:dyDescent="0.25">
      <c r="A20" s="299"/>
      <c r="B20" s="1803" t="s">
        <v>220</v>
      </c>
      <c r="C20" s="1082"/>
      <c r="D20" s="1082"/>
      <c r="E20" s="1084"/>
      <c r="F20" s="1329">
        <f>AVERAGE(F14:F15)</f>
        <v>0</v>
      </c>
      <c r="G20" s="1329">
        <f>AVERAGE(G14:G15)</f>
        <v>0</v>
      </c>
      <c r="H20" s="1329">
        <f>AVERAGE(H14:H15)</f>
        <v>0</v>
      </c>
      <c r="I20" s="1329">
        <f>AVERAGE(I14:I15)</f>
        <v>0</v>
      </c>
      <c r="J20" s="1329">
        <f>AVERAGE(J14:J15)</f>
        <v>0</v>
      </c>
      <c r="K20" s="1329">
        <f t="shared" si="0"/>
        <v>0</v>
      </c>
      <c r="L20" s="1800"/>
      <c r="M20" s="299"/>
    </row>
    <row r="21" spans="1:13" x14ac:dyDescent="0.25">
      <c r="A21" s="299"/>
      <c r="B21" s="1801"/>
      <c r="C21" s="1082"/>
      <c r="D21" s="1082"/>
      <c r="E21" s="1086"/>
      <c r="F21" s="1086"/>
      <c r="G21" s="1086"/>
      <c r="H21" s="1086"/>
      <c r="I21" s="1086"/>
      <c r="J21" s="1086"/>
      <c r="K21" s="1086"/>
      <c r="L21" s="1802"/>
      <c r="M21" s="299"/>
    </row>
    <row r="22" spans="1:13" x14ac:dyDescent="0.25">
      <c r="A22" s="299"/>
      <c r="B22" s="1804" t="s">
        <v>905</v>
      </c>
      <c r="C22" s="1082"/>
      <c r="D22" s="1082"/>
      <c r="E22" s="1088"/>
      <c r="F22" s="1075">
        <f>F17</f>
        <v>0</v>
      </c>
      <c r="G22" s="1075">
        <f>G17</f>
        <v>0</v>
      </c>
      <c r="H22" s="1075">
        <f>H17</f>
        <v>0</v>
      </c>
      <c r="I22" s="1075">
        <f>I17</f>
        <v>0</v>
      </c>
      <c r="J22" s="1075">
        <f>J17</f>
        <v>0</v>
      </c>
      <c r="K22" s="1083">
        <f>SUM(F22:J22)</f>
        <v>0</v>
      </c>
      <c r="L22" s="1802"/>
      <c r="M22" s="299"/>
    </row>
    <row r="23" spans="1:13" x14ac:dyDescent="0.25">
      <c r="A23" s="299"/>
      <c r="B23" s="1805"/>
      <c r="C23" s="1082"/>
      <c r="D23" s="1082"/>
      <c r="E23" s="1081"/>
      <c r="F23" s="1081"/>
      <c r="G23" s="1081"/>
      <c r="H23" s="1081"/>
      <c r="I23" s="1081"/>
      <c r="J23" s="1081"/>
      <c r="K23" s="1081"/>
      <c r="L23" s="1798"/>
      <c r="M23" s="299"/>
    </row>
    <row r="24" spans="1:13" ht="54.75" customHeight="1" x14ac:dyDescent="0.25">
      <c r="A24" s="299"/>
      <c r="B24" s="1806" t="s">
        <v>225</v>
      </c>
      <c r="C24" s="1089" t="s">
        <v>216</v>
      </c>
      <c r="D24" s="1089"/>
      <c r="E24" s="1091"/>
      <c r="F24" s="1092">
        <f t="shared" ref="F24:K24" si="1">F9</f>
        <v>0</v>
      </c>
      <c r="G24" s="1092">
        <f t="shared" si="1"/>
        <v>0</v>
      </c>
      <c r="H24" s="1092">
        <f t="shared" si="1"/>
        <v>0</v>
      </c>
      <c r="I24" s="1092">
        <f t="shared" si="1"/>
        <v>0</v>
      </c>
      <c r="J24" s="1092">
        <f t="shared" si="1"/>
        <v>0</v>
      </c>
      <c r="K24" s="1090" t="str">
        <f t="shared" si="1"/>
        <v>Total</v>
      </c>
      <c r="L24" s="1807"/>
      <c r="M24" s="299"/>
    </row>
    <row r="25" spans="1:13" x14ac:dyDescent="0.25">
      <c r="A25" s="299"/>
      <c r="B25" s="1801" t="s">
        <v>222</v>
      </c>
      <c r="C25" s="1082" t="s">
        <v>904</v>
      </c>
      <c r="D25" s="1082"/>
      <c r="E25" s="1081"/>
      <c r="F25" s="1079">
        <v>0</v>
      </c>
      <c r="G25" s="1076">
        <v>0</v>
      </c>
      <c r="H25" s="1076">
        <v>0</v>
      </c>
      <c r="I25" s="1076">
        <v>0</v>
      </c>
      <c r="J25" s="1076">
        <v>0</v>
      </c>
      <c r="K25" s="1081"/>
      <c r="L25" s="1798"/>
      <c r="M25" s="299"/>
    </row>
    <row r="26" spans="1:13" x14ac:dyDescent="0.25">
      <c r="A26" s="299"/>
      <c r="B26" s="1801"/>
      <c r="C26" s="1082" t="s">
        <v>224</v>
      </c>
      <c r="D26" s="1082"/>
      <c r="E26" s="1081"/>
      <c r="F26" s="1077">
        <v>0</v>
      </c>
      <c r="G26" s="1077">
        <v>0</v>
      </c>
      <c r="H26" s="1077">
        <v>0</v>
      </c>
      <c r="I26" s="1077">
        <v>0</v>
      </c>
      <c r="J26" s="1077">
        <v>0</v>
      </c>
      <c r="K26" s="1081"/>
      <c r="L26" s="1798"/>
      <c r="M26" s="299"/>
    </row>
    <row r="27" spans="1:13" x14ac:dyDescent="0.25">
      <c r="A27" s="299"/>
      <c r="B27" s="1801"/>
      <c r="C27" s="1082"/>
      <c r="D27" s="1082"/>
      <c r="E27" s="1084"/>
      <c r="F27" s="1083">
        <f>F25*F26</f>
        <v>0</v>
      </c>
      <c r="G27" s="1083">
        <f>G25*G26</f>
        <v>0</v>
      </c>
      <c r="H27" s="1083">
        <f>H25*H26</f>
        <v>0</v>
      </c>
      <c r="I27" s="1083">
        <f>I25*I26</f>
        <v>0</v>
      </c>
      <c r="J27" s="1083">
        <f>J25*J26</f>
        <v>0</v>
      </c>
      <c r="K27" s="1083">
        <f>SUM(F27:J27)</f>
        <v>0</v>
      </c>
      <c r="L27" s="1800"/>
      <c r="M27" s="299"/>
    </row>
    <row r="28" spans="1:13" x14ac:dyDescent="0.25">
      <c r="A28" s="299"/>
      <c r="B28" s="1801"/>
      <c r="C28" s="1082"/>
      <c r="D28" s="1082"/>
      <c r="E28" s="1087"/>
      <c r="F28" s="1087"/>
      <c r="G28" s="1087"/>
      <c r="H28" s="1087"/>
      <c r="I28" s="1087"/>
      <c r="J28" s="1087"/>
      <c r="K28" s="1087"/>
      <c r="L28" s="1808"/>
      <c r="M28" s="299"/>
    </row>
    <row r="29" spans="1:13" x14ac:dyDescent="0.25">
      <c r="A29" s="299"/>
      <c r="B29" s="1801" t="s">
        <v>226</v>
      </c>
      <c r="C29" s="1082"/>
      <c r="D29" s="1082"/>
      <c r="E29" s="1087"/>
      <c r="F29" s="1087"/>
      <c r="G29" s="1087"/>
      <c r="H29" s="1087"/>
      <c r="I29" s="1087"/>
      <c r="J29" s="1087"/>
      <c r="K29" s="1087"/>
      <c r="L29" s="1808"/>
      <c r="M29" s="299"/>
    </row>
    <row r="30" spans="1:13" x14ac:dyDescent="0.25">
      <c r="A30" s="299"/>
      <c r="B30" s="1801"/>
      <c r="C30" s="1094" t="str">
        <f>CONCATENATE(IF(Measurement=2,"Mgals","CCFs"), " (derived from above)")</f>
        <v>Mgals (derived from above)</v>
      </c>
      <c r="D30" s="1094"/>
      <c r="E30" s="1087"/>
      <c r="F30" s="1083">
        <f>F22</f>
        <v>0</v>
      </c>
      <c r="G30" s="1083">
        <f>G22</f>
        <v>0</v>
      </c>
      <c r="H30" s="1083">
        <f>H22</f>
        <v>0</v>
      </c>
      <c r="I30" s="1083">
        <f>I22</f>
        <v>0</v>
      </c>
      <c r="J30" s="1083">
        <f>J22</f>
        <v>0</v>
      </c>
      <c r="K30" s="1087"/>
      <c r="L30" s="1808"/>
      <c r="M30" s="299"/>
    </row>
    <row r="31" spans="1:13" x14ac:dyDescent="0.25">
      <c r="A31" s="299"/>
      <c r="B31" s="1801"/>
      <c r="C31" s="1082" t="s">
        <v>224</v>
      </c>
      <c r="D31" s="1082"/>
      <c r="E31" s="1087"/>
      <c r="F31" s="1078">
        <v>0</v>
      </c>
      <c r="G31" s="1078">
        <v>0</v>
      </c>
      <c r="H31" s="1078">
        <v>0</v>
      </c>
      <c r="I31" s="1078">
        <v>0</v>
      </c>
      <c r="J31" s="1078">
        <v>0</v>
      </c>
      <c r="K31" s="1087"/>
      <c r="L31" s="1808"/>
      <c r="M31" s="299"/>
    </row>
    <row r="32" spans="1:13" ht="13.8" thickBot="1" x14ac:dyDescent="0.3">
      <c r="A32" s="299"/>
      <c r="B32" s="1801"/>
      <c r="C32" s="1082"/>
      <c r="D32" s="1082"/>
      <c r="E32" s="1084"/>
      <c r="F32" s="1093">
        <f>F30*F31</f>
        <v>0</v>
      </c>
      <c r="G32" s="1093">
        <f>G30*G31</f>
        <v>0</v>
      </c>
      <c r="H32" s="1093">
        <f>H30*H31</f>
        <v>0</v>
      </c>
      <c r="I32" s="1093">
        <f>I30*I31</f>
        <v>0</v>
      </c>
      <c r="J32" s="1093">
        <f>J30*J31</f>
        <v>0</v>
      </c>
      <c r="K32" s="1328">
        <f>SUM(F32:J32)</f>
        <v>0</v>
      </c>
      <c r="L32" s="1800"/>
      <c r="M32" s="299"/>
    </row>
    <row r="33" spans="1:13" ht="13.8" thickTop="1" x14ac:dyDescent="0.25">
      <c r="A33" s="299"/>
      <c r="B33" s="1801"/>
      <c r="C33" s="1082"/>
      <c r="D33" s="1082"/>
      <c r="E33" s="1084"/>
      <c r="F33" s="1083">
        <f t="shared" ref="F33:K33" si="2">F27+F32</f>
        <v>0</v>
      </c>
      <c r="G33" s="1083">
        <f t="shared" si="2"/>
        <v>0</v>
      </c>
      <c r="H33" s="1083">
        <f t="shared" si="2"/>
        <v>0</v>
      </c>
      <c r="I33" s="1083">
        <f t="shared" si="2"/>
        <v>0</v>
      </c>
      <c r="J33" s="1083">
        <f t="shared" si="2"/>
        <v>0</v>
      </c>
      <c r="K33" s="1083">
        <f t="shared" si="2"/>
        <v>0</v>
      </c>
      <c r="L33" s="1800"/>
      <c r="M33" s="299"/>
    </row>
    <row r="34" spans="1:13" x14ac:dyDescent="0.25">
      <c r="A34" s="299"/>
      <c r="B34" s="1801"/>
      <c r="C34" s="1082"/>
      <c r="D34" s="1082"/>
      <c r="E34" s="1084"/>
      <c r="F34" s="1083"/>
      <c r="G34" s="1083"/>
      <c r="H34" s="1083"/>
      <c r="I34" s="1083"/>
      <c r="J34" s="1083"/>
      <c r="K34" s="1083"/>
      <c r="L34" s="1800"/>
      <c r="M34" s="299"/>
    </row>
    <row r="35" spans="1:13" ht="28.5" customHeight="1" x14ac:dyDescent="0.25">
      <c r="A35" s="299"/>
      <c r="B35" s="1809" t="s">
        <v>221</v>
      </c>
      <c r="C35" s="1089" t="s">
        <v>216</v>
      </c>
      <c r="D35" s="1089"/>
      <c r="E35" s="1091"/>
      <c r="F35" s="1092">
        <f t="shared" ref="F35:K35" si="3">F9</f>
        <v>0</v>
      </c>
      <c r="G35" s="1092">
        <f t="shared" si="3"/>
        <v>0</v>
      </c>
      <c r="H35" s="1092">
        <f t="shared" si="3"/>
        <v>0</v>
      </c>
      <c r="I35" s="1092">
        <f t="shared" si="3"/>
        <v>0</v>
      </c>
      <c r="J35" s="1092">
        <f t="shared" si="3"/>
        <v>0</v>
      </c>
      <c r="K35" s="1090" t="str">
        <f t="shared" si="3"/>
        <v>Total</v>
      </c>
      <c r="L35" s="1807"/>
      <c r="M35" s="299"/>
    </row>
    <row r="36" spans="1:13" x14ac:dyDescent="0.25">
      <c r="A36" s="299"/>
      <c r="B36" s="1801" t="s">
        <v>222</v>
      </c>
      <c r="C36" s="1082" t="s">
        <v>223</v>
      </c>
      <c r="D36" s="1082"/>
      <c r="E36" s="1081"/>
      <c r="F36" s="1079">
        <v>0</v>
      </c>
      <c r="G36" s="1079">
        <v>0</v>
      </c>
      <c r="H36" s="1076">
        <v>0</v>
      </c>
      <c r="I36" s="1076">
        <v>0</v>
      </c>
      <c r="J36" s="1076">
        <v>0</v>
      </c>
      <c r="K36" s="1081"/>
      <c r="L36" s="1798"/>
      <c r="M36" s="299"/>
    </row>
    <row r="37" spans="1:13" x14ac:dyDescent="0.25">
      <c r="A37" s="299"/>
      <c r="B37" s="1801"/>
      <c r="C37" s="1082" t="s">
        <v>224</v>
      </c>
      <c r="D37" s="1082"/>
      <c r="E37" s="1081"/>
      <c r="F37" s="1077">
        <v>0</v>
      </c>
      <c r="G37" s="1077">
        <v>0</v>
      </c>
      <c r="H37" s="1077">
        <v>0</v>
      </c>
      <c r="I37" s="1077">
        <v>0</v>
      </c>
      <c r="J37" s="1077">
        <v>0</v>
      </c>
      <c r="K37" s="1081"/>
      <c r="L37" s="1798"/>
      <c r="M37" s="299"/>
    </row>
    <row r="38" spans="1:13" x14ac:dyDescent="0.25">
      <c r="A38" s="299"/>
      <c r="B38" s="1801"/>
      <c r="C38" s="1082"/>
      <c r="D38" s="1082"/>
      <c r="E38" s="1084"/>
      <c r="F38" s="1083">
        <f>F37*F36</f>
        <v>0</v>
      </c>
      <c r="G38" s="1083">
        <f>G37*G36</f>
        <v>0</v>
      </c>
      <c r="H38" s="1083">
        <f>H37*H36</f>
        <v>0</v>
      </c>
      <c r="I38" s="1083">
        <f>I37*I36</f>
        <v>0</v>
      </c>
      <c r="J38" s="1083">
        <f>J37*J36</f>
        <v>0</v>
      </c>
      <c r="K38" s="1083">
        <f>SUM(F38:J38)</f>
        <v>0</v>
      </c>
      <c r="L38" s="1800"/>
      <c r="M38" s="299"/>
    </row>
    <row r="39" spans="1:13" x14ac:dyDescent="0.25">
      <c r="A39" s="299"/>
      <c r="B39" s="1801"/>
      <c r="C39" s="1082"/>
      <c r="D39" s="1082"/>
      <c r="E39" s="1081"/>
      <c r="F39" s="1081"/>
      <c r="G39" s="1081"/>
      <c r="H39" s="1081"/>
      <c r="I39" s="1081"/>
      <c r="J39" s="1081"/>
      <c r="K39" s="1081"/>
      <c r="L39" s="1798"/>
      <c r="M39" s="299"/>
    </row>
    <row r="40" spans="1:13" x14ac:dyDescent="0.25">
      <c r="A40" s="299"/>
      <c r="B40" s="2412" t="s">
        <v>1232</v>
      </c>
      <c r="C40" s="2413"/>
      <c r="D40" s="2413"/>
      <c r="E40" s="2413"/>
      <c r="F40" s="2413"/>
      <c r="G40" s="2413"/>
      <c r="H40" s="2413"/>
      <c r="I40" s="2413"/>
      <c r="J40" s="2413"/>
      <c r="K40" s="2413"/>
      <c r="L40" s="2414"/>
      <c r="M40" s="299"/>
    </row>
    <row r="41" spans="1:13" x14ac:dyDescent="0.25">
      <c r="A41" s="299"/>
      <c r="B41" s="2412"/>
      <c r="C41" s="2413"/>
      <c r="D41" s="2413"/>
      <c r="E41" s="2413"/>
      <c r="F41" s="2413"/>
      <c r="G41" s="2413"/>
      <c r="H41" s="2413"/>
      <c r="I41" s="2413"/>
      <c r="J41" s="2413"/>
      <c r="K41" s="2413"/>
      <c r="L41" s="2414"/>
      <c r="M41" s="299"/>
    </row>
    <row r="42" spans="1:13" x14ac:dyDescent="0.25">
      <c r="A42" s="299"/>
      <c r="B42" s="1801"/>
      <c r="C42" s="2399"/>
      <c r="D42" s="2400"/>
      <c r="E42" s="2400"/>
      <c r="F42" s="2400"/>
      <c r="G42" s="2400"/>
      <c r="H42" s="2400"/>
      <c r="I42" s="2400"/>
      <c r="J42" s="2401"/>
      <c r="K42" s="1081"/>
      <c r="L42" s="1798"/>
      <c r="M42" s="299"/>
    </row>
    <row r="43" spans="1:13" x14ac:dyDescent="0.25">
      <c r="A43" s="299"/>
      <c r="B43" s="1801"/>
      <c r="C43" s="2402"/>
      <c r="D43" s="2403"/>
      <c r="E43" s="2403"/>
      <c r="F43" s="2403"/>
      <c r="G43" s="2403"/>
      <c r="H43" s="2403"/>
      <c r="I43" s="2403"/>
      <c r="J43" s="2404"/>
      <c r="K43" s="1081"/>
      <c r="L43" s="1798"/>
      <c r="M43" s="299"/>
    </row>
    <row r="44" spans="1:13" x14ac:dyDescent="0.25">
      <c r="A44" s="299"/>
      <c r="B44" s="1801"/>
      <c r="C44" s="2402"/>
      <c r="D44" s="2403"/>
      <c r="E44" s="2403"/>
      <c r="F44" s="2403"/>
      <c r="G44" s="2403"/>
      <c r="H44" s="2403"/>
      <c r="I44" s="2403"/>
      <c r="J44" s="2404"/>
      <c r="K44" s="1081"/>
      <c r="L44" s="1798"/>
      <c r="M44" s="299"/>
    </row>
    <row r="45" spans="1:13" x14ac:dyDescent="0.25">
      <c r="A45" s="299"/>
      <c r="B45" s="1801"/>
      <c r="C45" s="2402"/>
      <c r="D45" s="2403"/>
      <c r="E45" s="2403"/>
      <c r="F45" s="2403"/>
      <c r="G45" s="2403"/>
      <c r="H45" s="2403"/>
      <c r="I45" s="2403"/>
      <c r="J45" s="2404"/>
      <c r="K45" s="1081"/>
      <c r="L45" s="1798"/>
      <c r="M45" s="299"/>
    </row>
    <row r="46" spans="1:13" x14ac:dyDescent="0.25">
      <c r="A46" s="299"/>
      <c r="B46" s="1801"/>
      <c r="C46" s="2402"/>
      <c r="D46" s="2403"/>
      <c r="E46" s="2403"/>
      <c r="F46" s="2403"/>
      <c r="G46" s="2403"/>
      <c r="H46" s="2403"/>
      <c r="I46" s="2403"/>
      <c r="J46" s="2404"/>
      <c r="K46" s="1081"/>
      <c r="L46" s="1798"/>
      <c r="M46" s="299"/>
    </row>
    <row r="47" spans="1:13" x14ac:dyDescent="0.25">
      <c r="A47" s="299"/>
      <c r="B47" s="1801"/>
      <c r="C47" s="2402"/>
      <c r="D47" s="2403"/>
      <c r="E47" s="2403"/>
      <c r="F47" s="2403"/>
      <c r="G47" s="2403"/>
      <c r="H47" s="2403"/>
      <c r="I47" s="2403"/>
      <c r="J47" s="2404"/>
      <c r="K47" s="1081"/>
      <c r="L47" s="1798"/>
      <c r="M47" s="299"/>
    </row>
    <row r="48" spans="1:13" x14ac:dyDescent="0.25">
      <c r="A48" s="299"/>
      <c r="B48" s="1801"/>
      <c r="C48" s="2402"/>
      <c r="D48" s="2403"/>
      <c r="E48" s="2403"/>
      <c r="F48" s="2403"/>
      <c r="G48" s="2403"/>
      <c r="H48" s="2403"/>
      <c r="I48" s="2403"/>
      <c r="J48" s="2404"/>
      <c r="K48" s="1081"/>
      <c r="L48" s="1798"/>
      <c r="M48" s="299"/>
    </row>
    <row r="49" spans="1:13" x14ac:dyDescent="0.25">
      <c r="A49" s="299"/>
      <c r="B49" s="1801"/>
      <c r="C49" s="2402"/>
      <c r="D49" s="2403"/>
      <c r="E49" s="2403"/>
      <c r="F49" s="2403"/>
      <c r="G49" s="2403"/>
      <c r="H49" s="2403"/>
      <c r="I49" s="2403"/>
      <c r="J49" s="2404"/>
      <c r="K49" s="1081"/>
      <c r="L49" s="1798"/>
      <c r="M49" s="299"/>
    </row>
    <row r="50" spans="1:13" x14ac:dyDescent="0.25">
      <c r="A50" s="299"/>
      <c r="B50" s="1801"/>
      <c r="C50" s="2402"/>
      <c r="D50" s="2403"/>
      <c r="E50" s="2403"/>
      <c r="F50" s="2403"/>
      <c r="G50" s="2403"/>
      <c r="H50" s="2403"/>
      <c r="I50" s="2403"/>
      <c r="J50" s="2404"/>
      <c r="K50" s="1081"/>
      <c r="L50" s="1798"/>
      <c r="M50" s="299"/>
    </row>
    <row r="51" spans="1:13" x14ac:dyDescent="0.25">
      <c r="A51" s="299"/>
      <c r="B51" s="1801"/>
      <c r="C51" s="2402"/>
      <c r="D51" s="2403"/>
      <c r="E51" s="2403"/>
      <c r="F51" s="2403"/>
      <c r="G51" s="2403"/>
      <c r="H51" s="2403"/>
      <c r="I51" s="2403"/>
      <c r="J51" s="2404"/>
      <c r="K51" s="1081"/>
      <c r="L51" s="1798"/>
      <c r="M51" s="299"/>
    </row>
    <row r="52" spans="1:13" x14ac:dyDescent="0.25">
      <c r="A52" s="299"/>
      <c r="B52" s="1801"/>
      <c r="C52" s="2402"/>
      <c r="D52" s="2403"/>
      <c r="E52" s="2403"/>
      <c r="F52" s="2403"/>
      <c r="G52" s="2403"/>
      <c r="H52" s="2403"/>
      <c r="I52" s="2403"/>
      <c r="J52" s="2404"/>
      <c r="K52" s="1081"/>
      <c r="L52" s="1798"/>
      <c r="M52" s="299"/>
    </row>
    <row r="53" spans="1:13" x14ac:dyDescent="0.25">
      <c r="A53" s="299"/>
      <c r="B53" s="1801"/>
      <c r="C53" s="2405"/>
      <c r="D53" s="2406"/>
      <c r="E53" s="2406"/>
      <c r="F53" s="2406"/>
      <c r="G53" s="2406"/>
      <c r="H53" s="2406"/>
      <c r="I53" s="2406"/>
      <c r="J53" s="2407"/>
      <c r="K53" s="1081"/>
      <c r="L53" s="1798"/>
      <c r="M53" s="299"/>
    </row>
    <row r="54" spans="1:13" x14ac:dyDescent="0.25">
      <c r="A54" s="299"/>
      <c r="B54" s="1810"/>
      <c r="C54" s="1082"/>
      <c r="D54" s="1082"/>
      <c r="E54" s="1081"/>
      <c r="F54" s="1081"/>
      <c r="G54" s="1081"/>
      <c r="H54" s="1081"/>
      <c r="I54" s="1081"/>
      <c r="J54" s="1081"/>
      <c r="K54" s="1081"/>
      <c r="L54" s="1798"/>
      <c r="M54" s="299"/>
    </row>
    <row r="55" spans="1:13" x14ac:dyDescent="0.25">
      <c r="A55" s="299"/>
      <c r="B55" s="1811"/>
      <c r="C55" s="1812"/>
      <c r="D55" s="1812"/>
      <c r="E55" s="1812"/>
      <c r="F55" s="1812"/>
      <c r="G55" s="1812"/>
      <c r="H55" s="1812"/>
      <c r="I55" s="1812"/>
      <c r="J55" s="1812"/>
      <c r="K55" s="1812"/>
      <c r="L55" s="1813"/>
      <c r="M55" s="299"/>
    </row>
    <row r="56" spans="1:13" x14ac:dyDescent="0.25">
      <c r="A56" s="299"/>
      <c r="B56" s="299"/>
      <c r="C56" s="299"/>
      <c r="D56" s="299"/>
      <c r="E56" s="299"/>
      <c r="F56" s="299"/>
      <c r="G56" s="299"/>
      <c r="H56" s="299"/>
      <c r="I56" s="299"/>
      <c r="J56" s="299"/>
      <c r="K56" s="299"/>
      <c r="L56" s="299"/>
      <c r="M56" s="299"/>
    </row>
    <row r="57" spans="1:13" x14ac:dyDescent="0.25">
      <c r="A57" s="299"/>
      <c r="B57" s="299"/>
      <c r="C57" s="299"/>
      <c r="D57" s="299"/>
      <c r="E57" s="299"/>
      <c r="F57" s="299"/>
      <c r="G57" s="299"/>
      <c r="H57" s="299"/>
      <c r="I57" s="299"/>
      <c r="J57" s="299"/>
      <c r="K57" s="299"/>
      <c r="L57" s="299"/>
      <c r="M57" s="299"/>
    </row>
    <row r="58" spans="1:13" x14ac:dyDescent="0.25">
      <c r="A58" s="299"/>
      <c r="B58" s="299"/>
      <c r="C58" s="299"/>
      <c r="D58" s="299"/>
      <c r="E58" s="299"/>
      <c r="F58" s="299"/>
      <c r="G58" s="299"/>
      <c r="H58" s="299"/>
      <c r="I58" s="299"/>
      <c r="J58" s="299"/>
      <c r="K58" s="299"/>
      <c r="L58" s="299"/>
      <c r="M58" s="299"/>
    </row>
    <row r="59" spans="1:13" s="17" customFormat="1" x14ac:dyDescent="0.25"/>
    <row r="60" spans="1:13" s="17" customFormat="1" x14ac:dyDescent="0.25"/>
    <row r="61" spans="1:13" s="17" customFormat="1" x14ac:dyDescent="0.25"/>
    <row r="62" spans="1:13" s="17" customFormat="1" x14ac:dyDescent="0.25"/>
    <row r="63" spans="1:13" s="17" customFormat="1" x14ac:dyDescent="0.25"/>
    <row r="64" spans="1:13" s="17" customFormat="1" x14ac:dyDescent="0.25"/>
    <row r="65" s="17" customFormat="1" x14ac:dyDescent="0.25"/>
    <row r="66" s="17" customFormat="1" x14ac:dyDescent="0.25"/>
    <row r="67" s="17" customFormat="1" x14ac:dyDescent="0.25"/>
    <row r="68" s="17" customFormat="1" x14ac:dyDescent="0.25"/>
    <row r="69" s="17" customFormat="1" x14ac:dyDescent="0.25"/>
    <row r="70" s="17" customFormat="1" x14ac:dyDescent="0.25"/>
    <row r="71" s="17" customFormat="1" x14ac:dyDescent="0.25"/>
    <row r="72" s="17" customFormat="1" x14ac:dyDescent="0.25"/>
    <row r="73" s="17" customFormat="1" x14ac:dyDescent="0.25"/>
    <row r="74" s="17" customFormat="1" x14ac:dyDescent="0.25"/>
    <row r="75" s="17" customFormat="1" x14ac:dyDescent="0.25"/>
    <row r="76" s="17" customFormat="1" x14ac:dyDescent="0.25"/>
    <row r="77" s="17" customFormat="1" x14ac:dyDescent="0.25"/>
    <row r="78" s="17" customFormat="1" x14ac:dyDescent="0.25"/>
    <row r="79" s="17" customFormat="1" x14ac:dyDescent="0.25"/>
    <row r="80" s="17" customFormat="1" x14ac:dyDescent="0.25"/>
    <row r="81" s="17" customFormat="1" x14ac:dyDescent="0.25"/>
    <row r="82" s="17" customFormat="1" x14ac:dyDescent="0.25"/>
    <row r="83" s="17" customFormat="1" x14ac:dyDescent="0.25"/>
    <row r="84" s="17" customFormat="1" x14ac:dyDescent="0.25"/>
    <row r="85" s="17" customFormat="1" x14ac:dyDescent="0.25"/>
    <row r="86" s="17" customFormat="1" x14ac:dyDescent="0.25"/>
    <row r="87" s="17" customFormat="1" x14ac:dyDescent="0.25"/>
    <row r="88" s="17" customFormat="1" x14ac:dyDescent="0.25"/>
    <row r="89" s="17" customFormat="1" x14ac:dyDescent="0.25"/>
    <row r="90" s="17" customFormat="1" x14ac:dyDescent="0.25"/>
    <row r="91" s="17" customFormat="1" x14ac:dyDescent="0.25"/>
    <row r="92" s="17" customFormat="1" x14ac:dyDescent="0.25"/>
    <row r="93" s="17" customFormat="1" x14ac:dyDescent="0.25"/>
    <row r="94" s="17" customFormat="1" x14ac:dyDescent="0.25"/>
    <row r="95" s="17" customFormat="1" x14ac:dyDescent="0.25"/>
    <row r="96" s="17" customFormat="1" x14ac:dyDescent="0.25"/>
    <row r="97" s="17" customFormat="1" x14ac:dyDescent="0.25"/>
    <row r="98" s="17" customFormat="1" x14ac:dyDescent="0.25"/>
    <row r="99" s="17" customFormat="1" x14ac:dyDescent="0.25"/>
    <row r="100" s="17" customFormat="1" x14ac:dyDescent="0.25"/>
    <row r="101" s="17" customFormat="1" x14ac:dyDescent="0.25"/>
    <row r="102" s="17" customFormat="1" x14ac:dyDescent="0.25"/>
    <row r="103" s="17" customFormat="1" x14ac:dyDescent="0.25"/>
    <row r="104" s="17" customFormat="1" x14ac:dyDescent="0.25"/>
    <row r="105" s="17" customFormat="1" x14ac:dyDescent="0.25"/>
    <row r="106" s="17" customFormat="1" x14ac:dyDescent="0.25"/>
    <row r="107" s="17" customFormat="1" x14ac:dyDescent="0.25"/>
    <row r="108" s="17" customFormat="1" x14ac:dyDescent="0.25"/>
    <row r="109" s="17" customFormat="1" x14ac:dyDescent="0.25"/>
    <row r="110" s="17" customFormat="1" x14ac:dyDescent="0.25"/>
    <row r="111" s="17" customFormat="1" x14ac:dyDescent="0.25"/>
    <row r="112" s="17" customFormat="1" x14ac:dyDescent="0.25"/>
    <row r="113" s="17" customFormat="1" x14ac:dyDescent="0.25"/>
    <row r="114" s="17" customFormat="1" x14ac:dyDescent="0.25"/>
    <row r="115" s="17" customFormat="1" x14ac:dyDescent="0.25"/>
    <row r="116" s="17" customFormat="1" x14ac:dyDescent="0.25"/>
    <row r="117" s="17" customFormat="1" x14ac:dyDescent="0.25"/>
    <row r="118" s="17" customFormat="1" x14ac:dyDescent="0.25"/>
    <row r="119" s="17" customFormat="1" x14ac:dyDescent="0.25"/>
    <row r="120" s="17" customFormat="1" x14ac:dyDescent="0.25"/>
    <row r="121" s="17" customFormat="1" x14ac:dyDescent="0.25"/>
    <row r="122" s="17" customFormat="1" x14ac:dyDescent="0.25"/>
    <row r="123" s="17" customFormat="1" x14ac:dyDescent="0.25"/>
    <row r="124" s="17" customFormat="1" x14ac:dyDescent="0.25"/>
    <row r="125" s="17" customFormat="1" x14ac:dyDescent="0.25"/>
    <row r="126" s="17" customFormat="1" x14ac:dyDescent="0.25"/>
    <row r="127" s="17" customFormat="1" x14ac:dyDescent="0.25"/>
    <row r="128" s="17" customFormat="1" x14ac:dyDescent="0.25"/>
    <row r="129" s="17" customFormat="1" x14ac:dyDescent="0.25"/>
    <row r="130" s="17" customFormat="1" x14ac:dyDescent="0.25"/>
    <row r="131" s="17" customFormat="1" x14ac:dyDescent="0.25"/>
    <row r="132" s="17" customFormat="1" x14ac:dyDescent="0.25"/>
    <row r="133" s="17" customFormat="1" x14ac:dyDescent="0.25"/>
    <row r="134" s="17" customFormat="1" x14ac:dyDescent="0.25"/>
    <row r="135" s="17" customFormat="1" x14ac:dyDescent="0.25"/>
    <row r="136" s="17" customFormat="1" x14ac:dyDescent="0.25"/>
    <row r="137" s="17" customFormat="1" x14ac:dyDescent="0.25"/>
    <row r="138" s="17" customFormat="1" x14ac:dyDescent="0.25"/>
    <row r="139" s="17" customFormat="1" x14ac:dyDescent="0.25"/>
    <row r="140" s="17" customFormat="1" x14ac:dyDescent="0.25"/>
    <row r="141" s="17" customFormat="1" x14ac:dyDescent="0.25"/>
    <row r="142" s="17" customFormat="1" x14ac:dyDescent="0.25"/>
    <row r="143" s="17" customFormat="1" x14ac:dyDescent="0.25"/>
    <row r="144" s="17" customFormat="1" x14ac:dyDescent="0.25"/>
    <row r="145" s="17" customFormat="1" x14ac:dyDescent="0.25"/>
    <row r="146" s="17" customFormat="1" x14ac:dyDescent="0.25"/>
    <row r="147" s="17" customFormat="1" x14ac:dyDescent="0.25"/>
    <row r="148" s="17" customFormat="1" x14ac:dyDescent="0.25"/>
    <row r="149" s="17" customFormat="1" x14ac:dyDescent="0.25"/>
    <row r="150" s="17" customFormat="1" x14ac:dyDescent="0.25"/>
    <row r="151" s="17" customFormat="1" x14ac:dyDescent="0.25"/>
    <row r="152" s="17" customFormat="1" x14ac:dyDescent="0.25"/>
    <row r="153" s="17" customFormat="1" x14ac:dyDescent="0.25"/>
    <row r="154" s="17" customFormat="1" x14ac:dyDescent="0.25"/>
    <row r="155" s="17" customFormat="1" x14ac:dyDescent="0.25"/>
    <row r="156" s="17" customFormat="1" x14ac:dyDescent="0.25"/>
    <row r="157" s="17" customFormat="1" x14ac:dyDescent="0.25"/>
    <row r="158" s="17" customFormat="1" x14ac:dyDescent="0.25"/>
    <row r="159" s="17" customFormat="1" x14ac:dyDescent="0.25"/>
    <row r="160" s="17" customFormat="1" x14ac:dyDescent="0.25"/>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s="17" customFormat="1" x14ac:dyDescent="0.25"/>
    <row r="172" s="17" customFormat="1" x14ac:dyDescent="0.25"/>
    <row r="173" s="17" customFormat="1" x14ac:dyDescent="0.25"/>
    <row r="174" s="17" customFormat="1" x14ac:dyDescent="0.25"/>
    <row r="175" s="17" customFormat="1" x14ac:dyDescent="0.25"/>
    <row r="17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sheetData>
  <sheetProtection password="E593" sheet="1" objects="1" scenarios="1"/>
  <customSheetViews>
    <customSheetView guid="{B63065A1-7838-417A-8679-08A8A2B79CD8}" showPageBreaks="1" showGridLines="0" fitToPage="1" printArea="1">
      <selection activeCell="I3" sqref="I3"/>
      <pageMargins left="0.25" right="0.25" top="0.75" bottom="0.75" header="0.3" footer="0.3"/>
      <pageSetup scale="77" orientation="landscape" blackAndWhite="1" r:id="rId1"/>
    </customSheetView>
  </customSheetViews>
  <mergeCells count="7">
    <mergeCell ref="C42:J53"/>
    <mergeCell ref="C1:J1"/>
    <mergeCell ref="C2:J2"/>
    <mergeCell ref="C3:J3"/>
    <mergeCell ref="B40:L41"/>
    <mergeCell ref="C5:J5"/>
    <mergeCell ref="C4:J4"/>
  </mergeCells>
  <pageMargins left="0.25" right="0.25" top="0.75" bottom="0.75" header="0.3" footer="0.3"/>
  <pageSetup scale="58"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166125" r:id="rId5" name="Button 237">
              <controlPr defaultSize="0" print="0" autoFill="0" autoPict="0" macro="[0]!PrintAttach3W">
                <anchor moveWithCells="1">
                  <from>
                    <xdr:col>9</xdr:col>
                    <xdr:colOff>800100</xdr:colOff>
                    <xdr:row>0</xdr:row>
                    <xdr:rowOff>83820</xdr:rowOff>
                  </from>
                  <to>
                    <xdr:col>12</xdr:col>
                    <xdr:colOff>30480</xdr:colOff>
                    <xdr:row>1</xdr:row>
                    <xdr:rowOff>76200</xdr:rowOff>
                  </to>
                </anchor>
              </controlPr>
            </control>
          </mc:Choice>
        </mc:AlternateContent>
        <mc:AlternateContent xmlns:mc="http://schemas.openxmlformats.org/markup-compatibility/2006">
          <mc:Choice Requires="x14">
            <control shapeId="166126" r:id="rId6" name="Button 238">
              <controlPr defaultSize="0" print="0" autoFill="0" autoPict="0" macro="[0]!BackMain">
                <anchor moveWithCells="1">
                  <from>
                    <xdr:col>1</xdr:col>
                    <xdr:colOff>30480</xdr:colOff>
                    <xdr:row>0</xdr:row>
                    <xdr:rowOff>83820</xdr:rowOff>
                  </from>
                  <to>
                    <xdr:col>1</xdr:col>
                    <xdr:colOff>792480</xdr:colOff>
                    <xdr:row>1</xdr:row>
                    <xdr:rowOff>91440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92D050"/>
    <pageSetUpPr fitToPage="1"/>
  </sheetPr>
  <dimension ref="A1:L223"/>
  <sheetViews>
    <sheetView showGridLines="0" zoomScaleNormal="100" workbookViewId="0">
      <selection activeCell="H41" sqref="H41"/>
    </sheetView>
  </sheetViews>
  <sheetFormatPr defaultRowHeight="15" x14ac:dyDescent="0.25"/>
  <cols>
    <col min="1" max="1" width="9" style="48" customWidth="1"/>
    <col min="2" max="2" width="7.88671875" style="48" customWidth="1"/>
    <col min="3" max="3" width="7.6640625" style="47" customWidth="1"/>
    <col min="4" max="4" width="38" style="47" customWidth="1"/>
    <col min="5" max="5" width="18" style="47" bestFit="1" customWidth="1"/>
    <col min="6" max="6" width="13.6640625" style="47" customWidth="1"/>
    <col min="7" max="7" width="15.33203125" style="47" customWidth="1"/>
    <col min="8" max="8" width="15.6640625" style="47" customWidth="1"/>
    <col min="9" max="11" width="8.88671875" style="47"/>
    <col min="12" max="12" width="8.88671875" style="1814"/>
    <col min="13" max="16384" width="8.88671875" style="47"/>
  </cols>
  <sheetData>
    <row r="1" spans="1:11" ht="20.7" customHeight="1" x14ac:dyDescent="0.25">
      <c r="A1" s="176"/>
      <c r="B1" s="434"/>
      <c r="C1" s="314"/>
      <c r="D1" s="394"/>
      <c r="E1" s="394"/>
      <c r="F1" s="394"/>
      <c r="G1" s="394"/>
      <c r="H1" s="313"/>
      <c r="I1" s="313"/>
      <c r="J1" s="392"/>
      <c r="K1" s="1814"/>
    </row>
    <row r="2" spans="1:11" ht="22.5" customHeight="1" x14ac:dyDescent="0.25">
      <c r="A2" s="393"/>
      <c r="B2" s="402"/>
      <c r="C2" s="403"/>
      <c r="D2" s="314"/>
      <c r="E2" s="314"/>
      <c r="F2" s="314"/>
      <c r="G2" s="314"/>
      <c r="H2" s="394"/>
      <c r="I2" s="392"/>
      <c r="J2" s="392"/>
      <c r="K2" s="1814"/>
    </row>
    <row r="3" spans="1:11" ht="24.6" customHeight="1" x14ac:dyDescent="0.25">
      <c r="A3" s="308"/>
      <c r="B3" s="319"/>
      <c r="C3" s="314"/>
      <c r="D3" s="2416" t="str">
        <f>Utility</f>
        <v>Cleveland Water Utility</v>
      </c>
      <c r="E3" s="2416"/>
      <c r="F3" s="2416"/>
      <c r="G3" s="2416"/>
      <c r="H3" s="318"/>
      <c r="I3" s="392"/>
      <c r="J3" s="392"/>
      <c r="K3" s="1814"/>
    </row>
    <row r="4" spans="1:11" ht="21" customHeight="1" x14ac:dyDescent="0.3">
      <c r="A4" s="395"/>
      <c r="B4" s="404"/>
      <c r="C4" s="318"/>
      <c r="D4" s="2417" t="s">
        <v>228</v>
      </c>
      <c r="E4" s="2417"/>
      <c r="F4" s="2417"/>
      <c r="G4" s="2417"/>
      <c r="H4" s="318"/>
      <c r="I4" s="392"/>
      <c r="J4" s="392"/>
      <c r="K4" s="1814"/>
    </row>
    <row r="5" spans="1:11" x14ac:dyDescent="0.25">
      <c r="A5" s="406"/>
      <c r="B5" s="405"/>
      <c r="C5" s="318"/>
      <c r="D5" s="2418" t="str">
        <f>CONCATENATE("Estimated for Test Year ",TestYear)</f>
        <v>Estimated for Test Year 2023</v>
      </c>
      <c r="E5" s="2418"/>
      <c r="F5" s="2418"/>
      <c r="G5" s="2418"/>
      <c r="H5" s="318"/>
      <c r="I5" s="392"/>
      <c r="J5" s="392"/>
      <c r="K5" s="1814"/>
    </row>
    <row r="6" spans="1:11" x14ac:dyDescent="0.25">
      <c r="A6" s="396"/>
      <c r="B6" s="434" t="str">
        <f>TestYear &amp; " Test Year"</f>
        <v>2023 Test Year</v>
      </c>
      <c r="C6" s="397"/>
      <c r="D6" s="398"/>
      <c r="E6" s="398"/>
      <c r="F6" s="398"/>
      <c r="G6" s="398"/>
      <c r="H6" s="394"/>
      <c r="I6" s="313" t="s">
        <v>227</v>
      </c>
      <c r="J6" s="392"/>
      <c r="K6" s="1814"/>
    </row>
    <row r="7" spans="1:11" ht="19.95" customHeight="1" x14ac:dyDescent="0.3">
      <c r="A7" s="396"/>
      <c r="B7" s="1817"/>
      <c r="C7" s="2086" t="s">
        <v>1339</v>
      </c>
      <c r="D7" s="1818"/>
      <c r="E7" s="1818"/>
      <c r="F7" s="1818"/>
      <c r="G7" s="1818"/>
      <c r="H7" s="1819"/>
      <c r="I7" s="1820"/>
      <c r="J7" s="392"/>
      <c r="K7" s="1814"/>
    </row>
    <row r="8" spans="1:11" ht="15.6" x14ac:dyDescent="0.3">
      <c r="A8" s="396"/>
      <c r="B8" s="2084"/>
      <c r="C8" s="2087" t="s">
        <v>1272</v>
      </c>
      <c r="D8" s="407"/>
      <c r="E8" s="407"/>
      <c r="F8" s="407"/>
      <c r="G8" s="407"/>
      <c r="H8" s="408"/>
      <c r="I8" s="1822"/>
      <c r="J8" s="392"/>
      <c r="K8" s="1814"/>
    </row>
    <row r="9" spans="1:11" ht="17.100000000000001" customHeight="1" x14ac:dyDescent="0.3">
      <c r="A9" s="396"/>
      <c r="B9" s="2084"/>
      <c r="C9" s="2087" t="s">
        <v>1273</v>
      </c>
      <c r="D9" s="407"/>
      <c r="E9" s="407"/>
      <c r="F9" s="407"/>
      <c r="G9" s="407"/>
      <c r="H9" s="408"/>
      <c r="I9" s="1822"/>
      <c r="J9" s="392"/>
      <c r="K9" s="1814"/>
    </row>
    <row r="10" spans="1:11" ht="15.6" x14ac:dyDescent="0.3">
      <c r="A10" s="396"/>
      <c r="B10" s="2084"/>
      <c r="C10" s="2087" t="s">
        <v>1274</v>
      </c>
      <c r="D10" s="407"/>
      <c r="E10" s="407"/>
      <c r="F10" s="407"/>
      <c r="G10" s="407"/>
      <c r="H10" s="408"/>
      <c r="I10" s="1822"/>
      <c r="J10" s="392"/>
      <c r="K10" s="1814"/>
    </row>
    <row r="11" spans="1:11" ht="17.399999999999999" customHeight="1" x14ac:dyDescent="0.3">
      <c r="A11" s="396"/>
      <c r="B11" s="2084"/>
      <c r="C11" s="2087" t="s">
        <v>1275</v>
      </c>
      <c r="D11" s="407"/>
      <c r="E11" s="407"/>
      <c r="F11" s="407"/>
      <c r="G11" s="407"/>
      <c r="H11" s="408"/>
      <c r="I11" s="1822"/>
      <c r="J11" s="392"/>
      <c r="K11" s="1814"/>
    </row>
    <row r="12" spans="1:11" ht="17.399999999999999" customHeight="1" x14ac:dyDescent="0.3">
      <c r="A12" s="396"/>
      <c r="B12" s="2084"/>
      <c r="C12" s="2087" t="s">
        <v>1276</v>
      </c>
      <c r="D12" s="407"/>
      <c r="E12" s="407"/>
      <c r="F12" s="407"/>
      <c r="G12" s="407"/>
      <c r="H12" s="408"/>
      <c r="I12" s="1822"/>
      <c r="J12" s="392"/>
      <c r="K12" s="1814"/>
    </row>
    <row r="13" spans="1:11" ht="15.6" x14ac:dyDescent="0.3">
      <c r="A13" s="396"/>
      <c r="B13" s="2084"/>
      <c r="C13" s="2087" t="s">
        <v>1277</v>
      </c>
      <c r="D13" s="407"/>
      <c r="E13" s="407"/>
      <c r="F13" s="407"/>
      <c r="G13" s="407"/>
      <c r="H13" s="408"/>
      <c r="I13" s="1822"/>
      <c r="J13" s="392"/>
      <c r="K13" s="1814"/>
    </row>
    <row r="14" spans="1:11" x14ac:dyDescent="0.25">
      <c r="A14" s="396"/>
      <c r="B14" s="2084"/>
      <c r="C14" s="2085"/>
      <c r="D14" s="407"/>
      <c r="E14" s="407"/>
      <c r="F14" s="407"/>
      <c r="G14" s="407"/>
      <c r="H14" s="408"/>
      <c r="I14" s="1822"/>
      <c r="J14" s="392"/>
      <c r="K14" s="1814"/>
    </row>
    <row r="15" spans="1:11" ht="15.6" x14ac:dyDescent="0.3">
      <c r="A15" s="399"/>
      <c r="B15" s="1821"/>
      <c r="C15" s="430" t="s">
        <v>229</v>
      </c>
      <c r="D15" s="408"/>
      <c r="E15" s="410"/>
      <c r="F15" s="410"/>
      <c r="G15" s="410"/>
      <c r="H15" s="408"/>
      <c r="I15" s="1822"/>
      <c r="J15" s="392"/>
      <c r="K15" s="1814"/>
    </row>
    <row r="16" spans="1:11" x14ac:dyDescent="0.25">
      <c r="A16" s="393"/>
      <c r="B16" s="1823"/>
      <c r="C16" s="408" t="s">
        <v>230</v>
      </c>
      <c r="D16" s="408"/>
      <c r="E16" s="409"/>
      <c r="F16" s="425"/>
      <c r="G16" s="425"/>
      <c r="H16" s="408"/>
      <c r="I16" s="1822"/>
      <c r="J16" s="392"/>
      <c r="K16" s="1814"/>
    </row>
    <row r="17" spans="1:12" x14ac:dyDescent="0.25">
      <c r="A17" s="393"/>
      <c r="B17" s="1823"/>
      <c r="C17" s="414"/>
      <c r="D17" s="414" t="s">
        <v>231</v>
      </c>
      <c r="E17" s="409"/>
      <c r="F17" s="425"/>
      <c r="G17" s="426" t="s">
        <v>232</v>
      </c>
      <c r="H17" s="432">
        <f>Attach5!J43</f>
        <v>0</v>
      </c>
      <c r="I17" s="1822"/>
      <c r="J17" s="392"/>
      <c r="K17" s="1814"/>
    </row>
    <row r="18" spans="1:12" x14ac:dyDescent="0.25">
      <c r="A18" s="401"/>
      <c r="B18" s="1824"/>
      <c r="C18" s="414"/>
      <c r="D18" s="414"/>
      <c r="E18" s="409"/>
      <c r="F18" s="425"/>
      <c r="G18" s="425"/>
      <c r="H18" s="411"/>
      <c r="I18" s="1822"/>
      <c r="J18" s="392"/>
      <c r="K18" s="1814"/>
    </row>
    <row r="19" spans="1:12" x14ac:dyDescent="0.25">
      <c r="A19" s="401"/>
      <c r="B19" s="1824"/>
      <c r="C19" s="414"/>
      <c r="D19" s="414"/>
      <c r="E19" s="409"/>
      <c r="F19" s="425"/>
      <c r="G19" s="425"/>
      <c r="H19" s="411"/>
      <c r="I19" s="1822"/>
      <c r="J19" s="392"/>
      <c r="K19" s="1814"/>
    </row>
    <row r="20" spans="1:12" ht="15.6" x14ac:dyDescent="0.3">
      <c r="A20" s="399"/>
      <c r="B20" s="1821"/>
      <c r="C20" s="431" t="s">
        <v>229</v>
      </c>
      <c r="D20" s="414"/>
      <c r="E20" s="409"/>
      <c r="F20" s="425"/>
      <c r="G20" s="425"/>
      <c r="H20" s="411"/>
      <c r="I20" s="1822"/>
      <c r="J20" s="392"/>
      <c r="K20" s="1814"/>
    </row>
    <row r="21" spans="1:12" x14ac:dyDescent="0.25">
      <c r="A21" s="401"/>
      <c r="B21" s="1824"/>
      <c r="C21" s="408" t="s">
        <v>233</v>
      </c>
      <c r="D21" s="408"/>
      <c r="E21" s="409"/>
      <c r="F21" s="425"/>
      <c r="G21" s="425"/>
      <c r="H21" s="408"/>
      <c r="I21" s="1822"/>
      <c r="J21" s="392"/>
      <c r="K21" s="1814"/>
    </row>
    <row r="22" spans="1:12" x14ac:dyDescent="0.25">
      <c r="A22" s="401"/>
      <c r="B22" s="1824"/>
      <c r="C22" s="408"/>
      <c r="D22" s="414" t="s">
        <v>234</v>
      </c>
      <c r="E22" s="408"/>
      <c r="F22" s="408"/>
      <c r="G22" s="427"/>
      <c r="H22" s="424">
        <v>0</v>
      </c>
      <c r="I22" s="1822"/>
      <c r="J22" s="392"/>
      <c r="K22" s="1814"/>
    </row>
    <row r="23" spans="1:12" x14ac:dyDescent="0.25">
      <c r="A23" s="393"/>
      <c r="B23" s="1823"/>
      <c r="C23" s="408"/>
      <c r="D23" s="408"/>
      <c r="E23" s="409"/>
      <c r="F23" s="409"/>
      <c r="G23" s="409"/>
      <c r="H23" s="417"/>
      <c r="I23" s="1822"/>
      <c r="J23" s="392"/>
      <c r="K23" s="1814"/>
    </row>
    <row r="24" spans="1:12" ht="15.6" x14ac:dyDescent="0.3">
      <c r="A24" s="393"/>
      <c r="B24" s="1823"/>
      <c r="C24" s="408"/>
      <c r="D24" s="408"/>
      <c r="E24" s="409"/>
      <c r="F24" s="410"/>
      <c r="G24" s="412"/>
      <c r="H24" s="408"/>
      <c r="I24" s="1822"/>
      <c r="J24" s="392"/>
      <c r="K24" s="1814"/>
    </row>
    <row r="25" spans="1:12" ht="15.6" x14ac:dyDescent="0.3">
      <c r="A25" s="399"/>
      <c r="B25" s="1821"/>
      <c r="C25" s="431" t="s">
        <v>235</v>
      </c>
      <c r="D25" s="407"/>
      <c r="E25" s="410"/>
      <c r="F25" s="410"/>
      <c r="G25" s="428"/>
      <c r="H25" s="408"/>
      <c r="I25" s="1822"/>
      <c r="J25" s="392"/>
      <c r="K25" s="1814"/>
    </row>
    <row r="26" spans="1:12" x14ac:dyDescent="0.25">
      <c r="A26" s="394"/>
      <c r="B26" s="1825"/>
      <c r="C26" s="414" t="s">
        <v>236</v>
      </c>
      <c r="D26" s="408"/>
      <c r="E26" s="410"/>
      <c r="F26" s="410"/>
      <c r="G26" s="413"/>
      <c r="H26" s="408"/>
      <c r="I26" s="1822"/>
      <c r="J26" s="392"/>
      <c r="K26" s="1814"/>
    </row>
    <row r="27" spans="1:12" s="49" customFormat="1" x14ac:dyDescent="0.25">
      <c r="A27" s="402"/>
      <c r="B27" s="1823"/>
      <c r="C27" s="408"/>
      <c r="D27" s="414" t="s">
        <v>231</v>
      </c>
      <c r="E27" s="410"/>
      <c r="F27" s="410"/>
      <c r="G27" s="423" t="s">
        <v>232</v>
      </c>
      <c r="H27" s="432">
        <f>Attach5!G78</f>
        <v>99513</v>
      </c>
      <c r="I27" s="1822"/>
      <c r="J27" s="394"/>
      <c r="K27" s="1815"/>
      <c r="L27" s="1815"/>
    </row>
    <row r="28" spans="1:12" s="49" customFormat="1" x14ac:dyDescent="0.25">
      <c r="A28" s="394"/>
      <c r="B28" s="1825"/>
      <c r="C28" s="408"/>
      <c r="D28" s="421"/>
      <c r="E28" s="410"/>
      <c r="F28" s="410"/>
      <c r="G28" s="415"/>
      <c r="H28" s="408"/>
      <c r="I28" s="1822"/>
      <c r="J28" s="394"/>
      <c r="K28" s="1815"/>
      <c r="L28" s="1815"/>
    </row>
    <row r="29" spans="1:12" s="49" customFormat="1" ht="15" customHeight="1" x14ac:dyDescent="0.25">
      <c r="A29" s="394"/>
      <c r="B29" s="1825"/>
      <c r="C29" s="408"/>
      <c r="D29" s="408"/>
      <c r="E29" s="409"/>
      <c r="F29" s="409"/>
      <c r="G29" s="409"/>
      <c r="H29" s="408"/>
      <c r="I29" s="1822"/>
      <c r="J29" s="394"/>
      <c r="K29" s="1815"/>
      <c r="L29" s="1815"/>
    </row>
    <row r="30" spans="1:12" s="49" customFormat="1" ht="15.6" x14ac:dyDescent="0.3">
      <c r="A30" s="399"/>
      <c r="B30" s="1821"/>
      <c r="C30" s="431" t="s">
        <v>235</v>
      </c>
      <c r="D30" s="407"/>
      <c r="E30" s="410"/>
      <c r="F30" s="410"/>
      <c r="G30" s="415"/>
      <c r="H30" s="408"/>
      <c r="I30" s="1822"/>
      <c r="J30" s="394"/>
      <c r="K30" s="1815"/>
      <c r="L30" s="1815"/>
    </row>
    <row r="31" spans="1:12" s="49" customFormat="1" x14ac:dyDescent="0.25">
      <c r="A31" s="402"/>
      <c r="B31" s="1823"/>
      <c r="C31" s="408" t="s">
        <v>237</v>
      </c>
      <c r="D31" s="408"/>
      <c r="E31" s="409"/>
      <c r="F31" s="416"/>
      <c r="G31" s="409"/>
      <c r="H31" s="417"/>
      <c r="I31" s="1822"/>
      <c r="J31" s="394"/>
      <c r="K31" s="1815"/>
      <c r="L31" s="1815"/>
    </row>
    <row r="32" spans="1:12" s="49" customFormat="1" ht="15.6" thickBot="1" x14ac:dyDescent="0.3">
      <c r="A32" s="400"/>
      <c r="B32" s="1824"/>
      <c r="C32" s="408"/>
      <c r="D32" s="414" t="s">
        <v>234</v>
      </c>
      <c r="E32" s="409"/>
      <c r="F32" s="408"/>
      <c r="G32" s="427"/>
      <c r="H32" s="424">
        <v>0</v>
      </c>
      <c r="I32" s="1822"/>
      <c r="J32" s="394"/>
      <c r="K32" s="1815"/>
      <c r="L32" s="1815"/>
    </row>
    <row r="33" spans="1:12" s="49" customFormat="1" ht="15.6" thickBot="1" x14ac:dyDescent="0.3">
      <c r="A33" s="402"/>
      <c r="B33" s="1823"/>
      <c r="C33" s="408"/>
      <c r="D33" s="422" t="s">
        <v>238</v>
      </c>
      <c r="E33" s="418"/>
      <c r="F33" s="419"/>
      <c r="G33" s="409"/>
      <c r="H33" s="417"/>
      <c r="I33" s="1822"/>
      <c r="J33" s="394"/>
      <c r="K33" s="1815"/>
      <c r="L33" s="1815"/>
    </row>
    <row r="34" spans="1:12" s="49" customFormat="1" x14ac:dyDescent="0.25">
      <c r="A34" s="400"/>
      <c r="B34" s="1824"/>
      <c r="C34" s="408"/>
      <c r="D34" s="408"/>
      <c r="E34" s="409"/>
      <c r="F34" s="409"/>
      <c r="G34" s="409"/>
      <c r="H34" s="408"/>
      <c r="I34" s="1822"/>
      <c r="J34" s="394"/>
      <c r="K34" s="1815"/>
      <c r="L34" s="1815"/>
    </row>
    <row r="35" spans="1:12" s="49" customFormat="1" x14ac:dyDescent="0.25">
      <c r="A35" s="402"/>
      <c r="B35" s="1823"/>
      <c r="C35" s="408"/>
      <c r="D35" s="408"/>
      <c r="E35" s="409"/>
      <c r="F35" s="409"/>
      <c r="G35" s="409"/>
      <c r="H35" s="408"/>
      <c r="I35" s="1822"/>
      <c r="J35" s="394"/>
      <c r="K35" s="1815"/>
      <c r="L35" s="1815"/>
    </row>
    <row r="36" spans="1:12" ht="15.6" x14ac:dyDescent="0.3">
      <c r="A36" s="399"/>
      <c r="B36" s="1821"/>
      <c r="C36" s="431" t="s">
        <v>239</v>
      </c>
      <c r="D36" s="407"/>
      <c r="E36" s="408"/>
      <c r="F36" s="408"/>
      <c r="G36" s="408"/>
      <c r="H36" s="408"/>
      <c r="I36" s="1822"/>
      <c r="J36" s="392"/>
      <c r="K36" s="1814"/>
    </row>
    <row r="37" spans="1:12" x14ac:dyDescent="0.25">
      <c r="A37" s="393"/>
      <c r="B37" s="1823"/>
      <c r="C37" s="408"/>
      <c r="D37" s="414" t="s">
        <v>234</v>
      </c>
      <c r="E37" s="409"/>
      <c r="F37" s="408"/>
      <c r="G37" s="429" t="s">
        <v>240</v>
      </c>
      <c r="H37" s="432">
        <f>Attach3W!K38</f>
        <v>0</v>
      </c>
      <c r="I37" s="1822"/>
      <c r="J37" s="392"/>
      <c r="K37" s="1814"/>
    </row>
    <row r="38" spans="1:12" x14ac:dyDescent="0.25">
      <c r="A38" s="393"/>
      <c r="B38" s="1823"/>
      <c r="C38" s="408"/>
      <c r="D38" s="408"/>
      <c r="E38" s="408"/>
      <c r="F38" s="408"/>
      <c r="G38" s="408"/>
      <c r="H38" s="408"/>
      <c r="I38" s="1822"/>
      <c r="J38" s="392"/>
      <c r="K38" s="1814"/>
    </row>
    <row r="39" spans="1:12" ht="15.6" x14ac:dyDescent="0.3">
      <c r="A39" s="399"/>
      <c r="B39" s="1821"/>
      <c r="C39" s="431" t="s">
        <v>241</v>
      </c>
      <c r="D39" s="407"/>
      <c r="E39" s="408"/>
      <c r="F39" s="408"/>
      <c r="G39" s="408"/>
      <c r="H39" s="408"/>
      <c r="I39" s="1822"/>
      <c r="J39" s="392"/>
      <c r="K39" s="1814"/>
    </row>
    <row r="40" spans="1:12" ht="36.75" customHeight="1" x14ac:dyDescent="0.25">
      <c r="A40" s="393"/>
      <c r="B40" s="1823"/>
      <c r="C40" s="2310" t="s">
        <v>242</v>
      </c>
      <c r="D40" s="2310"/>
      <c r="E40" s="2310"/>
      <c r="F40" s="2310"/>
      <c r="G40" s="408"/>
      <c r="H40" s="408"/>
      <c r="I40" s="1822"/>
      <c r="J40" s="392"/>
      <c r="K40" s="1814"/>
    </row>
    <row r="41" spans="1:12" x14ac:dyDescent="0.25">
      <c r="A41" s="393"/>
      <c r="B41" s="1823"/>
      <c r="C41" s="408"/>
      <c r="D41" s="414" t="s">
        <v>234</v>
      </c>
      <c r="E41" s="409"/>
      <c r="F41" s="408"/>
      <c r="G41" s="427"/>
      <c r="H41" s="424">
        <v>0</v>
      </c>
      <c r="I41" s="1822"/>
      <c r="J41" s="392"/>
      <c r="K41" s="1814"/>
    </row>
    <row r="42" spans="1:12" x14ac:dyDescent="0.25">
      <c r="A42" s="393"/>
      <c r="B42" s="1823"/>
      <c r="C42" s="408"/>
      <c r="D42" s="408"/>
      <c r="E42" s="408"/>
      <c r="F42" s="408"/>
      <c r="G42" s="408"/>
      <c r="H42" s="408"/>
      <c r="I42" s="1822"/>
      <c r="J42" s="392"/>
      <c r="K42" s="1814"/>
    </row>
    <row r="43" spans="1:12" ht="16.2" thickBot="1" x14ac:dyDescent="0.35">
      <c r="A43" s="393"/>
      <c r="B43" s="1823"/>
      <c r="C43" s="408"/>
      <c r="D43" s="430" t="s">
        <v>243</v>
      </c>
      <c r="E43" s="430"/>
      <c r="F43" s="430"/>
      <c r="G43" s="430"/>
      <c r="H43" s="433">
        <f>ROUND(SUM(H17:H41),0)</f>
        <v>99513</v>
      </c>
      <c r="I43" s="1822"/>
      <c r="J43" s="392"/>
      <c r="K43" s="1814"/>
    </row>
    <row r="44" spans="1:12" ht="15.6" thickTop="1" x14ac:dyDescent="0.25">
      <c r="A44" s="393"/>
      <c r="B44" s="1823"/>
      <c r="C44" s="408"/>
      <c r="D44" s="408"/>
      <c r="E44" s="408"/>
      <c r="F44" s="408"/>
      <c r="G44" s="408"/>
      <c r="H44" s="408"/>
      <c r="I44" s="1822"/>
      <c r="J44" s="392"/>
      <c r="K44" s="1814"/>
    </row>
    <row r="45" spans="1:12" ht="16.2" thickBot="1" x14ac:dyDescent="0.35">
      <c r="A45" s="393"/>
      <c r="B45" s="1823"/>
      <c r="C45" s="408"/>
      <c r="D45" s="430" t="s">
        <v>903</v>
      </c>
      <c r="E45" s="430"/>
      <c r="F45" s="430"/>
      <c r="G45" s="430"/>
      <c r="H45" s="433">
        <f>Attach3W!K38</f>
        <v>0</v>
      </c>
      <c r="I45" s="1822"/>
      <c r="J45" s="392"/>
      <c r="K45" s="1814"/>
    </row>
    <row r="46" spans="1:12" ht="15.6" thickTop="1" x14ac:dyDescent="0.25">
      <c r="A46" s="393"/>
      <c r="B46" s="1823"/>
      <c r="C46" s="408"/>
      <c r="D46" s="408"/>
      <c r="E46" s="408"/>
      <c r="F46" s="408"/>
      <c r="G46" s="408"/>
      <c r="H46" s="408"/>
      <c r="I46" s="1822"/>
      <c r="J46" s="392"/>
      <c r="K46" s="1814"/>
    </row>
    <row r="47" spans="1:12" x14ac:dyDescent="0.25">
      <c r="A47" s="393"/>
      <c r="B47" s="2419" t="s">
        <v>1232</v>
      </c>
      <c r="C47" s="2420"/>
      <c r="D47" s="2420"/>
      <c r="E47" s="2420"/>
      <c r="F47" s="2420"/>
      <c r="G47" s="2420"/>
      <c r="H47" s="2420"/>
      <c r="I47" s="2421"/>
      <c r="J47" s="392"/>
      <c r="K47" s="1814"/>
    </row>
    <row r="48" spans="1:12" x14ac:dyDescent="0.25">
      <c r="A48" s="393"/>
      <c r="B48" s="2419"/>
      <c r="C48" s="2420"/>
      <c r="D48" s="2420"/>
      <c r="E48" s="2420"/>
      <c r="F48" s="2420"/>
      <c r="G48" s="2420"/>
      <c r="H48" s="2420"/>
      <c r="I48" s="2421"/>
      <c r="J48" s="392"/>
      <c r="K48" s="1814"/>
    </row>
    <row r="49" spans="1:11" x14ac:dyDescent="0.25">
      <c r="A49" s="393"/>
      <c r="B49" s="1823"/>
      <c r="C49" s="2399"/>
      <c r="D49" s="2400"/>
      <c r="E49" s="2400"/>
      <c r="F49" s="2400"/>
      <c r="G49" s="2400"/>
      <c r="H49" s="2401"/>
      <c r="I49" s="1822"/>
      <c r="J49" s="392"/>
      <c r="K49" s="1814"/>
    </row>
    <row r="50" spans="1:11" x14ac:dyDescent="0.25">
      <c r="A50" s="393"/>
      <c r="B50" s="1823"/>
      <c r="C50" s="2402"/>
      <c r="D50" s="2403"/>
      <c r="E50" s="2403"/>
      <c r="F50" s="2403"/>
      <c r="G50" s="2403"/>
      <c r="H50" s="2404"/>
      <c r="I50" s="1822"/>
      <c r="J50" s="392"/>
      <c r="K50" s="1814"/>
    </row>
    <row r="51" spans="1:11" x14ac:dyDescent="0.25">
      <c r="A51" s="393"/>
      <c r="B51" s="1823"/>
      <c r="C51" s="2402"/>
      <c r="D51" s="2403"/>
      <c r="E51" s="2403"/>
      <c r="F51" s="2403"/>
      <c r="G51" s="2403"/>
      <c r="H51" s="2404"/>
      <c r="I51" s="1822"/>
      <c r="J51" s="392"/>
      <c r="K51" s="1814"/>
    </row>
    <row r="52" spans="1:11" x14ac:dyDescent="0.25">
      <c r="A52" s="393"/>
      <c r="B52" s="1823"/>
      <c r="C52" s="2402"/>
      <c r="D52" s="2403"/>
      <c r="E52" s="2403"/>
      <c r="F52" s="2403"/>
      <c r="G52" s="2403"/>
      <c r="H52" s="2404"/>
      <c r="I52" s="1822"/>
      <c r="J52" s="392"/>
      <c r="K52" s="1814"/>
    </row>
    <row r="53" spans="1:11" x14ac:dyDescent="0.25">
      <c r="A53" s="393"/>
      <c r="B53" s="1823"/>
      <c r="C53" s="2402"/>
      <c r="D53" s="2403"/>
      <c r="E53" s="2403"/>
      <c r="F53" s="2403"/>
      <c r="G53" s="2403"/>
      <c r="H53" s="2404"/>
      <c r="I53" s="1822"/>
      <c r="J53" s="392"/>
      <c r="K53" s="1814"/>
    </row>
    <row r="54" spans="1:11" x14ac:dyDescent="0.25">
      <c r="A54" s="393"/>
      <c r="B54" s="1823"/>
      <c r="C54" s="2402"/>
      <c r="D54" s="2403"/>
      <c r="E54" s="2403"/>
      <c r="F54" s="2403"/>
      <c r="G54" s="2403"/>
      <c r="H54" s="2404"/>
      <c r="I54" s="1822"/>
      <c r="J54" s="392"/>
      <c r="K54" s="1814"/>
    </row>
    <row r="55" spans="1:11" x14ac:dyDescent="0.25">
      <c r="A55" s="393"/>
      <c r="B55" s="1823"/>
      <c r="C55" s="2402"/>
      <c r="D55" s="2403"/>
      <c r="E55" s="2403"/>
      <c r="F55" s="2403"/>
      <c r="G55" s="2403"/>
      <c r="H55" s="2404"/>
      <c r="I55" s="1822"/>
      <c r="J55" s="392"/>
      <c r="K55" s="1814"/>
    </row>
    <row r="56" spans="1:11" x14ac:dyDescent="0.25">
      <c r="A56" s="393"/>
      <c r="B56" s="1823"/>
      <c r="C56" s="2402"/>
      <c r="D56" s="2403"/>
      <c r="E56" s="2403"/>
      <c r="F56" s="2403"/>
      <c r="G56" s="2403"/>
      <c r="H56" s="2404"/>
      <c r="I56" s="1822"/>
      <c r="J56" s="392"/>
      <c r="K56" s="1814"/>
    </row>
    <row r="57" spans="1:11" x14ac:dyDescent="0.25">
      <c r="A57" s="393"/>
      <c r="B57" s="1823"/>
      <c r="C57" s="2402"/>
      <c r="D57" s="2403"/>
      <c r="E57" s="2403"/>
      <c r="F57" s="2403"/>
      <c r="G57" s="2403"/>
      <c r="H57" s="2404"/>
      <c r="I57" s="1822"/>
      <c r="J57" s="392"/>
      <c r="K57" s="1814"/>
    </row>
    <row r="58" spans="1:11" x14ac:dyDescent="0.25">
      <c r="A58" s="393"/>
      <c r="B58" s="1823"/>
      <c r="C58" s="2402"/>
      <c r="D58" s="2403"/>
      <c r="E58" s="2403"/>
      <c r="F58" s="2403"/>
      <c r="G58" s="2403"/>
      <c r="H58" s="2404"/>
      <c r="I58" s="1822"/>
      <c r="J58" s="392"/>
      <c r="K58" s="1814"/>
    </row>
    <row r="59" spans="1:11" x14ac:dyDescent="0.25">
      <c r="A59" s="393"/>
      <c r="B59" s="1823"/>
      <c r="C59" s="2402"/>
      <c r="D59" s="2403"/>
      <c r="E59" s="2403"/>
      <c r="F59" s="2403"/>
      <c r="G59" s="2403"/>
      <c r="H59" s="2404"/>
      <c r="I59" s="1822"/>
      <c r="J59" s="392"/>
      <c r="K59" s="1814"/>
    </row>
    <row r="60" spans="1:11" x14ac:dyDescent="0.25">
      <c r="A60" s="393"/>
      <c r="B60" s="1823"/>
      <c r="C60" s="2402"/>
      <c r="D60" s="2403"/>
      <c r="E60" s="2403"/>
      <c r="F60" s="2403"/>
      <c r="G60" s="2403"/>
      <c r="H60" s="2404"/>
      <c r="I60" s="1822"/>
      <c r="J60" s="392"/>
      <c r="K60" s="1814"/>
    </row>
    <row r="61" spans="1:11" x14ac:dyDescent="0.25">
      <c r="A61" s="393"/>
      <c r="B61" s="1823"/>
      <c r="C61" s="2405"/>
      <c r="D61" s="2406"/>
      <c r="E61" s="2406"/>
      <c r="F61" s="2406"/>
      <c r="G61" s="2406"/>
      <c r="H61" s="2407"/>
      <c r="I61" s="1822"/>
      <c r="J61" s="392"/>
      <c r="K61" s="1814"/>
    </row>
    <row r="62" spans="1:11" ht="15.6" x14ac:dyDescent="0.3">
      <c r="A62" s="393"/>
      <c r="B62" s="1823"/>
      <c r="C62" s="420"/>
      <c r="D62" s="408"/>
      <c r="E62" s="408"/>
      <c r="F62" s="408"/>
      <c r="G62" s="408"/>
      <c r="H62" s="408"/>
      <c r="I62" s="1822"/>
      <c r="J62" s="392"/>
      <c r="K62" s="1814"/>
    </row>
    <row r="63" spans="1:11" x14ac:dyDescent="0.25">
      <c r="A63" s="393"/>
      <c r="B63" s="1826"/>
      <c r="C63" s="1827"/>
      <c r="D63" s="1828"/>
      <c r="E63" s="1827"/>
      <c r="F63" s="1827"/>
      <c r="G63" s="1827"/>
      <c r="H63" s="1829"/>
      <c r="I63" s="1830"/>
      <c r="J63" s="392"/>
      <c r="K63" s="1814"/>
    </row>
    <row r="64" spans="1:11" x14ac:dyDescent="0.25">
      <c r="A64" s="393"/>
      <c r="B64" s="393"/>
      <c r="C64" s="394"/>
      <c r="D64" s="394"/>
      <c r="E64" s="394"/>
      <c r="F64" s="394"/>
      <c r="G64" s="394"/>
      <c r="H64" s="394"/>
      <c r="I64" s="392"/>
      <c r="J64" s="392"/>
      <c r="K64" s="1814"/>
    </row>
    <row r="65" spans="1:11" x14ac:dyDescent="0.25">
      <c r="A65" s="393"/>
      <c r="B65" s="393"/>
      <c r="C65" s="394"/>
      <c r="D65" s="394"/>
      <c r="E65" s="394"/>
      <c r="F65" s="394"/>
      <c r="G65" s="394"/>
      <c r="H65" s="394"/>
      <c r="I65" s="392"/>
      <c r="J65" s="392"/>
      <c r="K65" s="1814"/>
    </row>
    <row r="66" spans="1:11" x14ac:dyDescent="0.25">
      <c r="A66" s="393"/>
      <c r="B66" s="393"/>
      <c r="C66" s="394"/>
      <c r="D66" s="394"/>
      <c r="E66" s="394"/>
      <c r="F66" s="394"/>
      <c r="G66" s="394"/>
      <c r="H66" s="394"/>
      <c r="I66" s="392"/>
      <c r="J66" s="392"/>
      <c r="K66" s="1814"/>
    </row>
    <row r="67" spans="1:11" x14ac:dyDescent="0.25">
      <c r="A67" s="393"/>
      <c r="B67" s="393"/>
      <c r="C67" s="392"/>
      <c r="D67" s="392"/>
      <c r="E67" s="392"/>
      <c r="F67" s="392"/>
      <c r="G67" s="392"/>
      <c r="H67" s="392"/>
      <c r="I67" s="392"/>
      <c r="J67" s="392"/>
      <c r="K67" s="1814"/>
    </row>
    <row r="68" spans="1:11" x14ac:dyDescent="0.25">
      <c r="A68" s="1816"/>
      <c r="B68" s="1816"/>
      <c r="C68" s="1814"/>
      <c r="D68" s="1814"/>
      <c r="E68" s="1814"/>
      <c r="F68" s="1814"/>
      <c r="G68" s="1814"/>
      <c r="H68" s="1814"/>
      <c r="I68" s="1814"/>
      <c r="J68" s="1814"/>
      <c r="K68" s="1814"/>
    </row>
    <row r="69" spans="1:11" s="1814" customFormat="1" x14ac:dyDescent="0.25">
      <c r="A69" s="1816"/>
      <c r="B69" s="1816"/>
    </row>
    <row r="70" spans="1:11" s="1814" customFormat="1" x14ac:dyDescent="0.25">
      <c r="A70" s="1816"/>
      <c r="B70" s="1816"/>
    </row>
    <row r="71" spans="1:11" s="1814" customFormat="1" x14ac:dyDescent="0.25">
      <c r="A71" s="1816"/>
      <c r="B71" s="1816"/>
    </row>
    <row r="72" spans="1:11" s="1814" customFormat="1" x14ac:dyDescent="0.25">
      <c r="A72" s="1816"/>
      <c r="B72" s="1816"/>
    </row>
    <row r="73" spans="1:11" s="1814" customFormat="1" x14ac:dyDescent="0.25">
      <c r="A73" s="1816"/>
      <c r="B73" s="1816"/>
    </row>
    <row r="74" spans="1:11" s="1814" customFormat="1" x14ac:dyDescent="0.25">
      <c r="A74" s="1816"/>
      <c r="B74" s="1816"/>
    </row>
    <row r="75" spans="1:11" s="1814" customFormat="1" x14ac:dyDescent="0.25">
      <c r="A75" s="1816"/>
      <c r="B75" s="1816"/>
    </row>
    <row r="76" spans="1:11" s="1814" customFormat="1" x14ac:dyDescent="0.25">
      <c r="A76" s="1816"/>
      <c r="B76" s="1816"/>
    </row>
    <row r="77" spans="1:11" s="1814" customFormat="1" x14ac:dyDescent="0.25">
      <c r="A77" s="1816"/>
      <c r="B77" s="1816"/>
    </row>
    <row r="78" spans="1:11" s="1814" customFormat="1" x14ac:dyDescent="0.25">
      <c r="A78" s="1816"/>
      <c r="B78" s="1816"/>
    </row>
    <row r="79" spans="1:11" s="1814" customFormat="1" x14ac:dyDescent="0.25">
      <c r="A79" s="1816"/>
      <c r="B79" s="1816"/>
    </row>
    <row r="80" spans="1:11" s="1814" customFormat="1" x14ac:dyDescent="0.25">
      <c r="A80" s="1816"/>
      <c r="B80" s="1816"/>
    </row>
    <row r="81" spans="1:2" s="1814" customFormat="1" x14ac:dyDescent="0.25">
      <c r="A81" s="1816"/>
      <c r="B81" s="1816"/>
    </row>
    <row r="82" spans="1:2" s="1814" customFormat="1" x14ac:dyDescent="0.25">
      <c r="A82" s="1816"/>
      <c r="B82" s="1816"/>
    </row>
    <row r="83" spans="1:2" s="1814" customFormat="1" x14ac:dyDescent="0.25">
      <c r="A83" s="1816"/>
      <c r="B83" s="1816"/>
    </row>
    <row r="84" spans="1:2" s="1814" customFormat="1" x14ac:dyDescent="0.25">
      <c r="A84" s="1816"/>
      <c r="B84" s="1816"/>
    </row>
    <row r="85" spans="1:2" s="1814" customFormat="1" x14ac:dyDescent="0.25">
      <c r="A85" s="1816"/>
      <c r="B85" s="1816"/>
    </row>
    <row r="86" spans="1:2" s="1814" customFormat="1" x14ac:dyDescent="0.25">
      <c r="A86" s="1816"/>
      <c r="B86" s="1816"/>
    </row>
    <row r="87" spans="1:2" s="1814" customFormat="1" x14ac:dyDescent="0.25">
      <c r="A87" s="1816"/>
      <c r="B87" s="1816"/>
    </row>
    <row r="88" spans="1:2" s="1814" customFormat="1" x14ac:dyDescent="0.25">
      <c r="A88" s="1816"/>
      <c r="B88" s="1816"/>
    </row>
    <row r="89" spans="1:2" s="1814" customFormat="1" x14ac:dyDescent="0.25">
      <c r="A89" s="1816"/>
      <c r="B89" s="1816"/>
    </row>
    <row r="90" spans="1:2" s="1814" customFormat="1" x14ac:dyDescent="0.25">
      <c r="A90" s="1816"/>
      <c r="B90" s="1816"/>
    </row>
    <row r="91" spans="1:2" s="1814" customFormat="1" x14ac:dyDescent="0.25">
      <c r="A91" s="1816"/>
      <c r="B91" s="1816"/>
    </row>
    <row r="92" spans="1:2" s="1814" customFormat="1" x14ac:dyDescent="0.25">
      <c r="A92" s="1816"/>
      <c r="B92" s="1816"/>
    </row>
    <row r="93" spans="1:2" s="1814" customFormat="1" x14ac:dyDescent="0.25">
      <c r="A93" s="1816"/>
      <c r="B93" s="1816"/>
    </row>
    <row r="94" spans="1:2" s="1814" customFormat="1" x14ac:dyDescent="0.25">
      <c r="A94" s="1816"/>
      <c r="B94" s="1816"/>
    </row>
    <row r="95" spans="1:2" s="1814" customFormat="1" x14ac:dyDescent="0.25">
      <c r="A95" s="1816"/>
      <c r="B95" s="1816"/>
    </row>
    <row r="96" spans="1:2" s="1814" customFormat="1" x14ac:dyDescent="0.25">
      <c r="A96" s="1816"/>
      <c r="B96" s="1816"/>
    </row>
    <row r="97" spans="1:2" s="1814" customFormat="1" x14ac:dyDescent="0.25">
      <c r="A97" s="1816"/>
      <c r="B97" s="1816"/>
    </row>
    <row r="98" spans="1:2" s="1814" customFormat="1" x14ac:dyDescent="0.25">
      <c r="A98" s="1816"/>
      <c r="B98" s="1816"/>
    </row>
    <row r="99" spans="1:2" s="1814" customFormat="1" x14ac:dyDescent="0.25">
      <c r="A99" s="1816"/>
      <c r="B99" s="1816"/>
    </row>
    <row r="100" spans="1:2" s="1814" customFormat="1" x14ac:dyDescent="0.25">
      <c r="A100" s="1816"/>
      <c r="B100" s="1816"/>
    </row>
    <row r="101" spans="1:2" s="1814" customFormat="1" x14ac:dyDescent="0.25">
      <c r="A101" s="1816"/>
      <c r="B101" s="1816"/>
    </row>
    <row r="102" spans="1:2" s="1814" customFormat="1" x14ac:dyDescent="0.25">
      <c r="A102" s="1816"/>
      <c r="B102" s="1816"/>
    </row>
    <row r="103" spans="1:2" s="1814" customFormat="1" x14ac:dyDescent="0.25">
      <c r="A103" s="1816"/>
      <c r="B103" s="1816"/>
    </row>
    <row r="104" spans="1:2" s="1814" customFormat="1" x14ac:dyDescent="0.25">
      <c r="A104" s="1816"/>
      <c r="B104" s="1816"/>
    </row>
    <row r="105" spans="1:2" s="1814" customFormat="1" x14ac:dyDescent="0.25">
      <c r="A105" s="1816"/>
      <c r="B105" s="1816"/>
    </row>
    <row r="106" spans="1:2" s="1814" customFormat="1" x14ac:dyDescent="0.25">
      <c r="A106" s="1816"/>
      <c r="B106" s="1816"/>
    </row>
    <row r="107" spans="1:2" s="1814" customFormat="1" x14ac:dyDescent="0.25">
      <c r="A107" s="1816"/>
      <c r="B107" s="1816"/>
    </row>
    <row r="108" spans="1:2" s="1814" customFormat="1" x14ac:dyDescent="0.25">
      <c r="A108" s="1816"/>
      <c r="B108" s="1816"/>
    </row>
    <row r="109" spans="1:2" s="1814" customFormat="1" x14ac:dyDescent="0.25">
      <c r="A109" s="1816"/>
      <c r="B109" s="1816"/>
    </row>
    <row r="110" spans="1:2" s="1814" customFormat="1" x14ac:dyDescent="0.25">
      <c r="A110" s="1816"/>
      <c r="B110" s="1816"/>
    </row>
    <row r="111" spans="1:2" s="1814" customFormat="1" x14ac:dyDescent="0.25">
      <c r="A111" s="1816"/>
      <c r="B111" s="1816"/>
    </row>
    <row r="112" spans="1:2" s="1814" customFormat="1" x14ac:dyDescent="0.25">
      <c r="A112" s="1816"/>
      <c r="B112" s="1816"/>
    </row>
    <row r="113" spans="1:2" s="1814" customFormat="1" x14ac:dyDescent="0.25">
      <c r="A113" s="1816"/>
      <c r="B113" s="1816"/>
    </row>
    <row r="114" spans="1:2" s="1814" customFormat="1" x14ac:dyDescent="0.25">
      <c r="A114" s="1816"/>
      <c r="B114" s="1816"/>
    </row>
    <row r="115" spans="1:2" s="1814" customFormat="1" x14ac:dyDescent="0.25">
      <c r="A115" s="1816"/>
      <c r="B115" s="1816"/>
    </row>
    <row r="116" spans="1:2" s="1814" customFormat="1" x14ac:dyDescent="0.25">
      <c r="A116" s="1816"/>
      <c r="B116" s="1816"/>
    </row>
    <row r="117" spans="1:2" s="1814" customFormat="1" x14ac:dyDescent="0.25">
      <c r="A117" s="1816"/>
      <c r="B117" s="1816"/>
    </row>
    <row r="118" spans="1:2" s="1814" customFormat="1" x14ac:dyDescent="0.25">
      <c r="A118" s="1816"/>
      <c r="B118" s="1816"/>
    </row>
    <row r="119" spans="1:2" s="1814" customFormat="1" x14ac:dyDescent="0.25">
      <c r="A119" s="1816"/>
      <c r="B119" s="1816"/>
    </row>
    <row r="120" spans="1:2" s="1814" customFormat="1" x14ac:dyDescent="0.25">
      <c r="A120" s="1816"/>
      <c r="B120" s="1816"/>
    </row>
    <row r="121" spans="1:2" s="1814" customFormat="1" x14ac:dyDescent="0.25">
      <c r="A121" s="1816"/>
      <c r="B121" s="1816"/>
    </row>
    <row r="122" spans="1:2" s="1814" customFormat="1" x14ac:dyDescent="0.25">
      <c r="A122" s="1816"/>
      <c r="B122" s="1816"/>
    </row>
    <row r="123" spans="1:2" s="1814" customFormat="1" x14ac:dyDescent="0.25">
      <c r="A123" s="1816"/>
      <c r="B123" s="1816"/>
    </row>
    <row r="124" spans="1:2" s="1814" customFormat="1" x14ac:dyDescent="0.25">
      <c r="A124" s="1816"/>
      <c r="B124" s="1816"/>
    </row>
    <row r="125" spans="1:2" s="1814" customFormat="1" x14ac:dyDescent="0.25">
      <c r="A125" s="1816"/>
      <c r="B125" s="1816"/>
    </row>
    <row r="126" spans="1:2" s="1814" customFormat="1" x14ac:dyDescent="0.25">
      <c r="A126" s="1816"/>
      <c r="B126" s="1816"/>
    </row>
    <row r="127" spans="1:2" s="1814" customFormat="1" x14ac:dyDescent="0.25">
      <c r="A127" s="1816"/>
      <c r="B127" s="1816"/>
    </row>
    <row r="128" spans="1:2" s="1814" customFormat="1" x14ac:dyDescent="0.25">
      <c r="A128" s="1816"/>
      <c r="B128" s="1816"/>
    </row>
    <row r="129" spans="1:2" s="1814" customFormat="1" x14ac:dyDescent="0.25">
      <c r="A129" s="1816"/>
      <c r="B129" s="1816"/>
    </row>
    <row r="130" spans="1:2" s="1814" customFormat="1" x14ac:dyDescent="0.25">
      <c r="A130" s="1816"/>
      <c r="B130" s="1816"/>
    </row>
    <row r="131" spans="1:2" s="1814" customFormat="1" x14ac:dyDescent="0.25">
      <c r="A131" s="1816"/>
      <c r="B131" s="1816"/>
    </row>
    <row r="132" spans="1:2" s="1814" customFormat="1" x14ac:dyDescent="0.25">
      <c r="A132" s="1816"/>
      <c r="B132" s="1816"/>
    </row>
    <row r="133" spans="1:2" s="1814" customFormat="1" x14ac:dyDescent="0.25">
      <c r="A133" s="1816"/>
      <c r="B133" s="1816"/>
    </row>
    <row r="134" spans="1:2" s="1814" customFormat="1" x14ac:dyDescent="0.25">
      <c r="A134" s="1816"/>
      <c r="B134" s="1816"/>
    </row>
    <row r="135" spans="1:2" s="1814" customFormat="1" x14ac:dyDescent="0.25">
      <c r="A135" s="1816"/>
      <c r="B135" s="1816"/>
    </row>
    <row r="136" spans="1:2" s="1814" customFormat="1" x14ac:dyDescent="0.25">
      <c r="A136" s="1816"/>
      <c r="B136" s="1816"/>
    </row>
    <row r="137" spans="1:2" s="1814" customFormat="1" x14ac:dyDescent="0.25">
      <c r="A137" s="1816"/>
      <c r="B137" s="1816"/>
    </row>
    <row r="138" spans="1:2" s="1814" customFormat="1" x14ac:dyDescent="0.25">
      <c r="A138" s="1816"/>
      <c r="B138" s="1816"/>
    </row>
    <row r="139" spans="1:2" s="1814" customFormat="1" x14ac:dyDescent="0.25">
      <c r="A139" s="1816"/>
      <c r="B139" s="1816"/>
    </row>
    <row r="140" spans="1:2" s="1814" customFormat="1" x14ac:dyDescent="0.25">
      <c r="A140" s="1816"/>
      <c r="B140" s="1816"/>
    </row>
    <row r="141" spans="1:2" s="1814" customFormat="1" x14ac:dyDescent="0.25">
      <c r="A141" s="1816"/>
      <c r="B141" s="1816"/>
    </row>
    <row r="142" spans="1:2" s="1814" customFormat="1" x14ac:dyDescent="0.25">
      <c r="A142" s="1816"/>
      <c r="B142" s="1816"/>
    </row>
    <row r="143" spans="1:2" s="1814" customFormat="1" x14ac:dyDescent="0.25">
      <c r="A143" s="1816"/>
      <c r="B143" s="1816"/>
    </row>
    <row r="144" spans="1:2" s="1814" customFormat="1" x14ac:dyDescent="0.25">
      <c r="A144" s="1816"/>
      <c r="B144" s="1816"/>
    </row>
    <row r="145" spans="1:2" s="1814" customFormat="1" x14ac:dyDescent="0.25">
      <c r="A145" s="1816"/>
      <c r="B145" s="1816"/>
    </row>
    <row r="146" spans="1:2" s="1814" customFormat="1" x14ac:dyDescent="0.25">
      <c r="A146" s="1816"/>
      <c r="B146" s="1816"/>
    </row>
    <row r="147" spans="1:2" s="1814" customFormat="1" x14ac:dyDescent="0.25">
      <c r="A147" s="1816"/>
      <c r="B147" s="1816"/>
    </row>
    <row r="148" spans="1:2" s="1814" customFormat="1" x14ac:dyDescent="0.25">
      <c r="A148" s="1816"/>
      <c r="B148" s="1816"/>
    </row>
    <row r="149" spans="1:2" s="1814" customFormat="1" x14ac:dyDescent="0.25">
      <c r="A149" s="1816"/>
      <c r="B149" s="1816"/>
    </row>
    <row r="150" spans="1:2" s="1814" customFormat="1" x14ac:dyDescent="0.25">
      <c r="A150" s="1816"/>
      <c r="B150" s="1816"/>
    </row>
    <row r="151" spans="1:2" s="1814" customFormat="1" x14ac:dyDescent="0.25">
      <c r="A151" s="1816"/>
      <c r="B151" s="1816"/>
    </row>
    <row r="152" spans="1:2" s="1814" customFormat="1" x14ac:dyDescent="0.25">
      <c r="A152" s="1816"/>
      <c r="B152" s="1816"/>
    </row>
    <row r="153" spans="1:2" s="1814" customFormat="1" x14ac:dyDescent="0.25">
      <c r="A153" s="1816"/>
      <c r="B153" s="1816"/>
    </row>
    <row r="154" spans="1:2" s="1814" customFormat="1" x14ac:dyDescent="0.25">
      <c r="A154" s="1816"/>
      <c r="B154" s="1816"/>
    </row>
    <row r="155" spans="1:2" s="1814" customFormat="1" x14ac:dyDescent="0.25">
      <c r="A155" s="1816"/>
      <c r="B155" s="1816"/>
    </row>
    <row r="156" spans="1:2" s="1814" customFormat="1" x14ac:dyDescent="0.25">
      <c r="A156" s="1816"/>
      <c r="B156" s="1816"/>
    </row>
    <row r="157" spans="1:2" s="1814" customFormat="1" x14ac:dyDescent="0.25">
      <c r="A157" s="1816"/>
      <c r="B157" s="1816"/>
    </row>
    <row r="158" spans="1:2" s="1814" customFormat="1" x14ac:dyDescent="0.25">
      <c r="A158" s="1816"/>
      <c r="B158" s="1816"/>
    </row>
    <row r="159" spans="1:2" s="1814" customFormat="1" x14ac:dyDescent="0.25">
      <c r="A159" s="1816"/>
      <c r="B159" s="1816"/>
    </row>
    <row r="160" spans="1:2" s="1814" customFormat="1" x14ac:dyDescent="0.25">
      <c r="A160" s="1816"/>
      <c r="B160" s="1816"/>
    </row>
    <row r="161" spans="1:2" s="1814" customFormat="1" x14ac:dyDescent="0.25">
      <c r="A161" s="1816"/>
      <c r="B161" s="1816"/>
    </row>
    <row r="162" spans="1:2" s="1814" customFormat="1" x14ac:dyDescent="0.25">
      <c r="A162" s="1816"/>
      <c r="B162" s="1816"/>
    </row>
    <row r="163" spans="1:2" s="1814" customFormat="1" x14ac:dyDescent="0.25">
      <c r="A163" s="1816"/>
      <c r="B163" s="1816"/>
    </row>
    <row r="164" spans="1:2" s="1814" customFormat="1" x14ac:dyDescent="0.25">
      <c r="A164" s="1816"/>
      <c r="B164" s="1816"/>
    </row>
    <row r="165" spans="1:2" s="1814" customFormat="1" x14ac:dyDescent="0.25">
      <c r="A165" s="1816"/>
      <c r="B165" s="1816"/>
    </row>
    <row r="166" spans="1:2" s="1814" customFormat="1" x14ac:dyDescent="0.25">
      <c r="A166" s="1816"/>
      <c r="B166" s="1816"/>
    </row>
    <row r="167" spans="1:2" s="1814" customFormat="1" x14ac:dyDescent="0.25">
      <c r="A167" s="1816"/>
      <c r="B167" s="1816"/>
    </row>
    <row r="168" spans="1:2" s="1814" customFormat="1" x14ac:dyDescent="0.25">
      <c r="A168" s="1816"/>
      <c r="B168" s="1816"/>
    </row>
    <row r="169" spans="1:2" s="1814" customFormat="1" x14ac:dyDescent="0.25">
      <c r="A169" s="1816"/>
      <c r="B169" s="1816"/>
    </row>
    <row r="170" spans="1:2" s="1814" customFormat="1" x14ac:dyDescent="0.25">
      <c r="A170" s="1816"/>
      <c r="B170" s="1816"/>
    </row>
    <row r="171" spans="1:2" s="1814" customFormat="1" x14ac:dyDescent="0.25">
      <c r="A171" s="1816"/>
      <c r="B171" s="1816"/>
    </row>
    <row r="172" spans="1:2" s="1814" customFormat="1" x14ac:dyDescent="0.25">
      <c r="A172" s="1816"/>
      <c r="B172" s="1816"/>
    </row>
    <row r="173" spans="1:2" s="1814" customFormat="1" x14ac:dyDescent="0.25">
      <c r="A173" s="1816"/>
      <c r="B173" s="1816"/>
    </row>
    <row r="174" spans="1:2" s="1814" customFormat="1" x14ac:dyDescent="0.25">
      <c r="A174" s="1816"/>
      <c r="B174" s="1816"/>
    </row>
    <row r="175" spans="1:2" s="1814" customFormat="1" x14ac:dyDescent="0.25">
      <c r="A175" s="1816"/>
      <c r="B175" s="1816"/>
    </row>
    <row r="176" spans="1:2" s="1814" customFormat="1" x14ac:dyDescent="0.25">
      <c r="A176" s="1816"/>
      <c r="B176" s="1816"/>
    </row>
    <row r="177" spans="1:2" s="1814" customFormat="1" x14ac:dyDescent="0.25">
      <c r="A177" s="1816"/>
      <c r="B177" s="1816"/>
    </row>
    <row r="178" spans="1:2" s="1814" customFormat="1" x14ac:dyDescent="0.25">
      <c r="A178" s="1816"/>
      <c r="B178" s="1816"/>
    </row>
    <row r="179" spans="1:2" s="1814" customFormat="1" x14ac:dyDescent="0.25">
      <c r="A179" s="1816"/>
      <c r="B179" s="1816"/>
    </row>
    <row r="180" spans="1:2" s="1814" customFormat="1" x14ac:dyDescent="0.25">
      <c r="A180" s="1816"/>
      <c r="B180" s="1816"/>
    </row>
    <row r="181" spans="1:2" s="1814" customFormat="1" x14ac:dyDescent="0.25">
      <c r="A181" s="1816"/>
      <c r="B181" s="1816"/>
    </row>
    <row r="182" spans="1:2" s="1814" customFormat="1" x14ac:dyDescent="0.25">
      <c r="A182" s="1816"/>
      <c r="B182" s="1816"/>
    </row>
    <row r="183" spans="1:2" s="1814" customFormat="1" x14ac:dyDescent="0.25">
      <c r="A183" s="1816"/>
      <c r="B183" s="1816"/>
    </row>
    <row r="184" spans="1:2" s="1814" customFormat="1" x14ac:dyDescent="0.25">
      <c r="A184" s="1816"/>
      <c r="B184" s="1816"/>
    </row>
    <row r="185" spans="1:2" s="1814" customFormat="1" x14ac:dyDescent="0.25">
      <c r="A185" s="1816"/>
      <c r="B185" s="1816"/>
    </row>
    <row r="186" spans="1:2" s="1814" customFormat="1" x14ac:dyDescent="0.25">
      <c r="A186" s="1816"/>
      <c r="B186" s="1816"/>
    </row>
    <row r="187" spans="1:2" s="1814" customFormat="1" x14ac:dyDescent="0.25">
      <c r="A187" s="1816"/>
      <c r="B187" s="1816"/>
    </row>
    <row r="188" spans="1:2" s="1814" customFormat="1" x14ac:dyDescent="0.25">
      <c r="A188" s="1816"/>
      <c r="B188" s="1816"/>
    </row>
    <row r="189" spans="1:2" s="1814" customFormat="1" x14ac:dyDescent="0.25">
      <c r="A189" s="1816"/>
      <c r="B189" s="1816"/>
    </row>
    <row r="190" spans="1:2" s="1814" customFormat="1" x14ac:dyDescent="0.25">
      <c r="A190" s="1816"/>
      <c r="B190" s="1816"/>
    </row>
    <row r="191" spans="1:2" s="1814" customFormat="1" x14ac:dyDescent="0.25">
      <c r="A191" s="1816"/>
      <c r="B191" s="1816"/>
    </row>
    <row r="192" spans="1:2" s="1814" customFormat="1" x14ac:dyDescent="0.25">
      <c r="A192" s="1816"/>
      <c r="B192" s="1816"/>
    </row>
    <row r="193" spans="1:2" s="1814" customFormat="1" x14ac:dyDescent="0.25">
      <c r="A193" s="1816"/>
      <c r="B193" s="1816"/>
    </row>
    <row r="194" spans="1:2" s="1814" customFormat="1" x14ac:dyDescent="0.25">
      <c r="A194" s="1816"/>
      <c r="B194" s="1816"/>
    </row>
    <row r="195" spans="1:2" s="1814" customFormat="1" x14ac:dyDescent="0.25">
      <c r="A195" s="1816"/>
      <c r="B195" s="1816"/>
    </row>
    <row r="196" spans="1:2" s="1814" customFormat="1" x14ac:dyDescent="0.25">
      <c r="A196" s="1816"/>
      <c r="B196" s="1816"/>
    </row>
    <row r="197" spans="1:2" s="1814" customFormat="1" x14ac:dyDescent="0.25">
      <c r="A197" s="1816"/>
      <c r="B197" s="1816"/>
    </row>
    <row r="198" spans="1:2" s="1814" customFormat="1" x14ac:dyDescent="0.25">
      <c r="A198" s="1816"/>
      <c r="B198" s="1816"/>
    </row>
    <row r="199" spans="1:2" s="1814" customFormat="1" x14ac:dyDescent="0.25">
      <c r="A199" s="1816"/>
      <c r="B199" s="1816"/>
    </row>
    <row r="200" spans="1:2" s="1814" customFormat="1" x14ac:dyDescent="0.25">
      <c r="A200" s="1816"/>
      <c r="B200" s="1816"/>
    </row>
    <row r="201" spans="1:2" s="1814" customFormat="1" x14ac:dyDescent="0.25">
      <c r="A201" s="1816"/>
      <c r="B201" s="1816"/>
    </row>
    <row r="202" spans="1:2" s="1814" customFormat="1" x14ac:dyDescent="0.25">
      <c r="A202" s="1816"/>
      <c r="B202" s="1816"/>
    </row>
    <row r="203" spans="1:2" s="1814" customFormat="1" x14ac:dyDescent="0.25">
      <c r="A203" s="1816"/>
      <c r="B203" s="1816"/>
    </row>
    <row r="204" spans="1:2" s="1814" customFormat="1" x14ac:dyDescent="0.25">
      <c r="A204" s="1816"/>
      <c r="B204" s="1816"/>
    </row>
    <row r="205" spans="1:2" s="1814" customFormat="1" x14ac:dyDescent="0.25">
      <c r="A205" s="1816"/>
      <c r="B205" s="1816"/>
    </row>
    <row r="206" spans="1:2" s="1814" customFormat="1" x14ac:dyDescent="0.25">
      <c r="A206" s="1816"/>
      <c r="B206" s="1816"/>
    </row>
    <row r="207" spans="1:2" s="1814" customFormat="1" x14ac:dyDescent="0.25">
      <c r="A207" s="1816"/>
      <c r="B207" s="1816"/>
    </row>
    <row r="208" spans="1:2" s="1814" customFormat="1" x14ac:dyDescent="0.25">
      <c r="A208" s="1816"/>
      <c r="B208" s="1816"/>
    </row>
    <row r="209" spans="1:2" s="1814" customFormat="1" x14ac:dyDescent="0.25">
      <c r="A209" s="1816"/>
      <c r="B209" s="1816"/>
    </row>
    <row r="210" spans="1:2" s="1814" customFormat="1" x14ac:dyDescent="0.25">
      <c r="A210" s="1816"/>
      <c r="B210" s="1816"/>
    </row>
    <row r="211" spans="1:2" s="1814" customFormat="1" x14ac:dyDescent="0.25">
      <c r="A211" s="1816"/>
      <c r="B211" s="1816"/>
    </row>
    <row r="212" spans="1:2" s="1814" customFormat="1" x14ac:dyDescent="0.25">
      <c r="A212" s="1816"/>
      <c r="B212" s="1816"/>
    </row>
    <row r="213" spans="1:2" s="1814" customFormat="1" x14ac:dyDescent="0.25">
      <c r="A213" s="1816"/>
      <c r="B213" s="1816"/>
    </row>
    <row r="214" spans="1:2" s="1814" customFormat="1" x14ac:dyDescent="0.25">
      <c r="A214" s="1816"/>
      <c r="B214" s="1816"/>
    </row>
    <row r="215" spans="1:2" s="1814" customFormat="1" x14ac:dyDescent="0.25">
      <c r="A215" s="1816"/>
      <c r="B215" s="1816"/>
    </row>
    <row r="216" spans="1:2" s="1814" customFormat="1" x14ac:dyDescent="0.25">
      <c r="A216" s="1816"/>
      <c r="B216" s="1816"/>
    </row>
    <row r="217" spans="1:2" s="1814" customFormat="1" x14ac:dyDescent="0.25">
      <c r="A217" s="1816"/>
      <c r="B217" s="1816"/>
    </row>
    <row r="218" spans="1:2" s="1814" customFormat="1" x14ac:dyDescent="0.25">
      <c r="A218" s="1816"/>
      <c r="B218" s="1816"/>
    </row>
    <row r="219" spans="1:2" s="1814" customFormat="1" x14ac:dyDescent="0.25">
      <c r="A219" s="1816"/>
      <c r="B219" s="1816"/>
    </row>
    <row r="220" spans="1:2" s="1814" customFormat="1" x14ac:dyDescent="0.25">
      <c r="A220" s="1816"/>
      <c r="B220" s="1816"/>
    </row>
    <row r="221" spans="1:2" s="1814" customFormat="1" x14ac:dyDescent="0.25">
      <c r="A221" s="1816"/>
      <c r="B221" s="1816"/>
    </row>
    <row r="222" spans="1:2" s="1814" customFormat="1" x14ac:dyDescent="0.25">
      <c r="A222" s="1816"/>
      <c r="B222" s="1816"/>
    </row>
    <row r="223" spans="1:2" s="1814" customFormat="1" x14ac:dyDescent="0.25">
      <c r="A223" s="1816"/>
      <c r="B223" s="1816"/>
    </row>
  </sheetData>
  <sheetProtection password="E593" sheet="1" objects="1" scenarios="1"/>
  <customSheetViews>
    <customSheetView guid="{B63065A1-7838-417A-8679-08A8A2B79CD8}" scale="75" showPageBreaks="1" showGridLines="0" fitToPage="1" printArea="1">
      <selection activeCell="H16" sqref="H16"/>
      <pageMargins left="0.75" right="0.75" top="1" bottom="1" header="0.5" footer="0.5"/>
      <pageSetup scale="61" orientation="portrait" blackAndWhite="1" r:id="rId1"/>
      <headerFooter alignWithMargins="0"/>
    </customSheetView>
  </customSheetViews>
  <mergeCells count="6">
    <mergeCell ref="D3:G3"/>
    <mergeCell ref="C49:H61"/>
    <mergeCell ref="D4:G4"/>
    <mergeCell ref="D5:G5"/>
    <mergeCell ref="C40:F40"/>
    <mergeCell ref="B47:I48"/>
  </mergeCells>
  <pageMargins left="0.75" right="0.75" top="1" bottom="1" header="0.5" footer="0.5"/>
  <pageSetup scale="62" fitToHeight="0" orientation="portrait" blackAndWhite="1" r:id="rId2"/>
  <headerFooter alignWithMargins="0"/>
  <drawing r:id="rId3"/>
  <legacyDrawing r:id="rId4"/>
  <controls>
    <mc:AlternateContent xmlns:mc="http://schemas.openxmlformats.org/markup-compatibility/2006">
      <mc:Choice Requires="x14">
        <control shapeId="9219" r:id="rId5" name="CommandButton1">
          <controlPr print="0" autoLine="0" r:id="rId6">
            <anchor moveWithCells="1">
              <from>
                <xdr:col>4</xdr:col>
                <xdr:colOff>205740</xdr:colOff>
                <xdr:row>14</xdr:row>
                <xdr:rowOff>114300</xdr:rowOff>
              </from>
              <to>
                <xdr:col>5</xdr:col>
                <xdr:colOff>91440</xdr:colOff>
                <xdr:row>17</xdr:row>
                <xdr:rowOff>83820</xdr:rowOff>
              </to>
            </anchor>
          </controlPr>
        </control>
      </mc:Choice>
      <mc:Fallback>
        <control shapeId="9219" r:id="rId5" name="CommandButton1"/>
      </mc:Fallback>
    </mc:AlternateContent>
    <mc:AlternateContent xmlns:mc="http://schemas.openxmlformats.org/markup-compatibility/2006">
      <mc:Choice Requires="x14">
        <control shapeId="9217" r:id="rId7" name="Button 1">
          <controlPr defaultSize="0" print="0" autoFill="0" autoPict="0" macro="[0]!BackMain">
            <anchor moveWithCells="1">
              <from>
                <xdr:col>1</xdr:col>
                <xdr:colOff>0</xdr:colOff>
                <xdr:row>0</xdr:row>
                <xdr:rowOff>114300</xdr:rowOff>
              </from>
              <to>
                <xdr:col>2</xdr:col>
                <xdr:colOff>289560</xdr:colOff>
                <xdr:row>2</xdr:row>
                <xdr:rowOff>38100</xdr:rowOff>
              </to>
            </anchor>
          </controlPr>
        </control>
      </mc:Choice>
    </mc:AlternateContent>
    <mc:AlternateContent xmlns:mc="http://schemas.openxmlformats.org/markup-compatibility/2006">
      <mc:Choice Requires="x14">
        <control shapeId="9218" r:id="rId8" name="Button 2">
          <controlPr defaultSize="0" print="0" autoFill="0" autoPict="0" macro="[0]!BackMain">
            <anchor moveWithCells="1" sizeWithCells="1">
              <from>
                <xdr:col>7</xdr:col>
                <xdr:colOff>876300</xdr:colOff>
                <xdr:row>63</xdr:row>
                <xdr:rowOff>129540</xdr:rowOff>
              </from>
              <to>
                <xdr:col>9</xdr:col>
                <xdr:colOff>30480</xdr:colOff>
                <xdr:row>66</xdr:row>
                <xdr:rowOff>38100</xdr:rowOff>
              </to>
            </anchor>
          </controlPr>
        </control>
      </mc:Choice>
    </mc:AlternateContent>
    <mc:AlternateContent xmlns:mc="http://schemas.openxmlformats.org/markup-compatibility/2006">
      <mc:Choice Requires="x14">
        <control shapeId="9221" r:id="rId9" name="Button 5">
          <controlPr defaultSize="0" print="0" autoFill="0" autoPict="0" macro="[0]!PrintAttach4">
            <anchor moveWithCells="1">
              <from>
                <xdr:col>7</xdr:col>
                <xdr:colOff>167640</xdr:colOff>
                <xdr:row>0</xdr:row>
                <xdr:rowOff>137160</xdr:rowOff>
              </from>
              <to>
                <xdr:col>9</xdr:col>
                <xdr:colOff>22860</xdr:colOff>
                <xdr:row>2</xdr:row>
                <xdr:rowOff>7620</xdr:rowOff>
              </to>
            </anchor>
          </controlPr>
        </control>
      </mc:Choice>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pageSetUpPr fitToPage="1"/>
  </sheetPr>
  <dimension ref="A1:L192"/>
  <sheetViews>
    <sheetView showGridLines="0" topLeftCell="A50" zoomScaleNormal="100" workbookViewId="0">
      <selection activeCell="A4" sqref="A4"/>
    </sheetView>
  </sheetViews>
  <sheetFormatPr defaultRowHeight="13.2" x14ac:dyDescent="0.25"/>
  <cols>
    <col min="1" max="1" width="7.6640625" style="15" customWidth="1"/>
    <col min="2" max="2" width="10.6640625" style="15" customWidth="1"/>
    <col min="3" max="3" width="38.33203125" style="15" customWidth="1"/>
    <col min="4" max="4" width="11.6640625" style="15" customWidth="1"/>
    <col min="5" max="5" width="14.33203125" style="15" customWidth="1"/>
    <col min="6" max="6" width="17.6640625" style="15" customWidth="1"/>
    <col min="7" max="7" width="4.109375" style="15" bestFit="1" customWidth="1"/>
    <col min="8" max="8" width="14.33203125" style="15" customWidth="1"/>
    <col min="9" max="9" width="4.109375" style="15" bestFit="1" customWidth="1"/>
    <col min="10" max="10" width="15.6640625" style="15" customWidth="1"/>
    <col min="11" max="11" width="9.109375" style="15" customWidth="1"/>
    <col min="12" max="16384" width="8.88671875" style="15"/>
  </cols>
  <sheetData>
    <row r="1" spans="1:12" s="344" customFormat="1" x14ac:dyDescent="0.25">
      <c r="A1" s="314"/>
      <c r="B1" s="434"/>
      <c r="C1" s="311"/>
      <c r="D1" s="314"/>
      <c r="E1" s="314"/>
      <c r="F1" s="314"/>
      <c r="G1" s="314"/>
      <c r="H1" s="314"/>
      <c r="I1" s="314"/>
      <c r="J1" s="313"/>
      <c r="K1" s="313"/>
      <c r="L1" s="311"/>
    </row>
    <row r="2" spans="1:12" s="344" customFormat="1" x14ac:dyDescent="0.25">
      <c r="A2" s="314"/>
      <c r="B2" s="434"/>
      <c r="C2" s="311"/>
      <c r="D2" s="314"/>
      <c r="E2" s="314"/>
      <c r="F2" s="314"/>
      <c r="G2" s="314"/>
      <c r="H2" s="314"/>
      <c r="I2" s="314"/>
      <c r="J2" s="314"/>
      <c r="K2" s="311"/>
      <c r="L2" s="311"/>
    </row>
    <row r="3" spans="1:12" s="344" customFormat="1" x14ac:dyDescent="0.25">
      <c r="A3" s="314"/>
      <c r="B3" s="311"/>
      <c r="C3" s="2445"/>
      <c r="D3" s="2445"/>
      <c r="E3" s="2445"/>
      <c r="F3" s="2445"/>
      <c r="G3" s="2445"/>
      <c r="H3" s="2445"/>
      <c r="I3" s="2445"/>
      <c r="J3" s="2445"/>
      <c r="K3" s="311"/>
      <c r="L3" s="311"/>
    </row>
    <row r="4" spans="1:12" s="344" customFormat="1" x14ac:dyDescent="0.25">
      <c r="A4" s="314"/>
      <c r="B4" s="311"/>
      <c r="C4" s="2445"/>
      <c r="D4" s="2445"/>
      <c r="E4" s="2445"/>
      <c r="F4" s="2445"/>
      <c r="G4" s="2445"/>
      <c r="H4" s="2445"/>
      <c r="I4" s="2445"/>
      <c r="J4" s="2445"/>
      <c r="K4" s="311"/>
      <c r="L4" s="311"/>
    </row>
    <row r="5" spans="1:12" s="344" customFormat="1" x14ac:dyDescent="0.25">
      <c r="A5" s="314"/>
      <c r="B5" s="311"/>
      <c r="C5" s="2445" t="str">
        <f>Utility</f>
        <v>Cleveland Water Utility</v>
      </c>
      <c r="D5" s="2445"/>
      <c r="E5" s="2445"/>
      <c r="F5" s="2445"/>
      <c r="G5" s="2445"/>
      <c r="H5" s="2445"/>
      <c r="I5" s="2445"/>
      <c r="J5" s="2445"/>
      <c r="K5" s="311"/>
      <c r="L5" s="311"/>
    </row>
    <row r="6" spans="1:12" s="344" customFormat="1" x14ac:dyDescent="0.25">
      <c r="A6" s="314"/>
      <c r="B6" s="314"/>
      <c r="C6" s="2304" t="s">
        <v>244</v>
      </c>
      <c r="D6" s="2446"/>
      <c r="E6" s="2446"/>
      <c r="F6" s="2446"/>
      <c r="G6" s="2446"/>
      <c r="H6" s="2446"/>
      <c r="I6" s="2446"/>
      <c r="J6" s="2446"/>
      <c r="K6" s="311"/>
      <c r="L6" s="311"/>
    </row>
    <row r="7" spans="1:12" s="344" customFormat="1" x14ac:dyDescent="0.25">
      <c r="A7" s="314"/>
      <c r="B7" s="314"/>
      <c r="C7" s="2447" t="str">
        <f>CONCATENATE("Estimated for Test Year ",TestYear)</f>
        <v>Estimated for Test Year 2023</v>
      </c>
      <c r="D7" s="2448"/>
      <c r="E7" s="2448"/>
      <c r="F7" s="2448"/>
      <c r="G7" s="2448"/>
      <c r="H7" s="2448"/>
      <c r="I7" s="2448"/>
      <c r="J7" s="2448"/>
      <c r="K7" s="311"/>
      <c r="L7" s="311"/>
    </row>
    <row r="8" spans="1:12" ht="13.8" thickBot="1" x14ac:dyDescent="0.3">
      <c r="A8" s="314"/>
      <c r="B8" s="434" t="str">
        <f>TestYear &amp; " Test Year"</f>
        <v>2023 Test Year</v>
      </c>
      <c r="C8" s="316"/>
      <c r="D8" s="317"/>
      <c r="E8" s="318"/>
      <c r="F8" s="317"/>
      <c r="G8" s="317"/>
      <c r="H8" s="317"/>
      <c r="I8" s="317"/>
      <c r="J8" s="317"/>
      <c r="K8" s="313" t="s">
        <v>250</v>
      </c>
      <c r="L8" s="299"/>
    </row>
    <row r="9" spans="1:12" ht="13.8" thickTop="1" x14ac:dyDescent="0.25">
      <c r="A9" s="311"/>
      <c r="B9" s="332"/>
      <c r="C9" s="2088" t="s">
        <v>1280</v>
      </c>
      <c r="D9" s="333"/>
      <c r="E9" s="333"/>
      <c r="F9" s="334"/>
      <c r="G9" s="334"/>
      <c r="H9" s="334"/>
      <c r="I9" s="334"/>
      <c r="J9" s="334"/>
      <c r="K9" s="335"/>
      <c r="L9" s="299"/>
    </row>
    <row r="10" spans="1:12" x14ac:dyDescent="0.25">
      <c r="A10" s="311"/>
      <c r="B10" s="337"/>
      <c r="C10" s="2051" t="s">
        <v>1340</v>
      </c>
      <c r="D10" s="325"/>
      <c r="E10" s="325"/>
      <c r="F10" s="2050"/>
      <c r="G10" s="2050"/>
      <c r="H10" s="2050"/>
      <c r="I10" s="2050"/>
      <c r="J10" s="2050"/>
      <c r="K10" s="336"/>
      <c r="L10" s="299"/>
    </row>
    <row r="11" spans="1:12" x14ac:dyDescent="0.25">
      <c r="A11" s="311"/>
      <c r="B11" s="337"/>
      <c r="C11" s="2051" t="s">
        <v>1279</v>
      </c>
      <c r="D11" s="325"/>
      <c r="E11" s="325"/>
      <c r="F11" s="2050"/>
      <c r="G11" s="2050"/>
      <c r="H11" s="2050"/>
      <c r="I11" s="2050"/>
      <c r="J11" s="2050"/>
      <c r="K11" s="336"/>
      <c r="L11" s="299"/>
    </row>
    <row r="12" spans="1:12" x14ac:dyDescent="0.25">
      <c r="A12" s="311"/>
      <c r="B12" s="337"/>
      <c r="C12" s="1187"/>
      <c r="D12" s="325"/>
      <c r="E12" s="325"/>
      <c r="F12" s="2050"/>
      <c r="G12" s="2050"/>
      <c r="H12" s="2050"/>
      <c r="I12" s="2050"/>
      <c r="J12" s="2050"/>
      <c r="K12" s="336"/>
      <c r="L12" s="299"/>
    </row>
    <row r="13" spans="1:12" x14ac:dyDescent="0.25">
      <c r="A13" s="310"/>
      <c r="B13" s="380" t="s">
        <v>845</v>
      </c>
      <c r="C13" s="325"/>
      <c r="D13" s="325"/>
      <c r="E13" s="325"/>
      <c r="F13" s="325"/>
      <c r="G13" s="325"/>
      <c r="H13" s="325"/>
      <c r="I13" s="325"/>
      <c r="J13" s="325"/>
      <c r="K13" s="336"/>
      <c r="L13" s="299"/>
    </row>
    <row r="14" spans="1:12" ht="13.8" x14ac:dyDescent="0.25">
      <c r="A14" s="311"/>
      <c r="B14" s="346"/>
      <c r="C14" s="353" t="s">
        <v>245</v>
      </c>
      <c r="D14" s="325"/>
      <c r="E14" s="325"/>
      <c r="F14" s="325"/>
      <c r="G14" s="325"/>
      <c r="H14" s="325"/>
      <c r="I14" s="325"/>
      <c r="J14" s="325"/>
      <c r="K14" s="336"/>
      <c r="L14" s="299"/>
    </row>
    <row r="15" spans="1:12" ht="13.8" x14ac:dyDescent="0.25">
      <c r="A15" s="311"/>
      <c r="B15" s="346"/>
      <c r="C15" s="353"/>
      <c r="D15" s="325"/>
      <c r="E15" s="325"/>
      <c r="F15" s="325"/>
      <c r="G15" s="325"/>
      <c r="H15" s="325"/>
      <c r="I15" s="325"/>
      <c r="J15" s="325"/>
      <c r="K15" s="336"/>
      <c r="L15" s="299"/>
    </row>
    <row r="16" spans="1:12" x14ac:dyDescent="0.25">
      <c r="A16" s="311"/>
      <c r="B16" s="337"/>
      <c r="C16" s="325"/>
      <c r="D16" s="325"/>
      <c r="E16" s="325"/>
      <c r="F16" s="325"/>
      <c r="G16" s="325"/>
      <c r="H16" s="325"/>
      <c r="I16" s="325"/>
      <c r="J16" s="325"/>
      <c r="K16" s="336"/>
      <c r="L16" s="299"/>
    </row>
    <row r="17" spans="1:12" ht="13.8" x14ac:dyDescent="0.25">
      <c r="A17" s="303"/>
      <c r="B17" s="338"/>
      <c r="C17" s="2442" t="s">
        <v>246</v>
      </c>
      <c r="D17" s="2443"/>
      <c r="E17" s="2444"/>
      <c r="F17" s="328">
        <v>0</v>
      </c>
      <c r="G17" s="325"/>
      <c r="H17" s="325"/>
      <c r="I17" s="325"/>
      <c r="J17" s="325"/>
      <c r="K17" s="336"/>
      <c r="L17" s="299"/>
    </row>
    <row r="18" spans="1:12" ht="13.8" x14ac:dyDescent="0.25">
      <c r="A18" s="312"/>
      <c r="B18" s="339"/>
      <c r="C18" s="345" t="s">
        <v>247</v>
      </c>
      <c r="D18" s="345"/>
      <c r="E18" s="345"/>
      <c r="F18" s="329"/>
      <c r="G18" s="325"/>
      <c r="H18" s="325"/>
      <c r="I18" s="325"/>
      <c r="J18" s="325"/>
      <c r="K18" s="336"/>
      <c r="L18" s="299"/>
    </row>
    <row r="19" spans="1:12" ht="13.8" x14ac:dyDescent="0.25">
      <c r="A19" s="312"/>
      <c r="B19" s="339"/>
      <c r="C19" s="2442" t="s">
        <v>248</v>
      </c>
      <c r="D19" s="2443"/>
      <c r="E19" s="2444"/>
      <c r="F19" s="330"/>
      <c r="G19" s="325"/>
      <c r="H19" s="325"/>
      <c r="I19" s="325"/>
      <c r="J19" s="325"/>
      <c r="K19" s="336"/>
      <c r="L19" s="299"/>
    </row>
    <row r="20" spans="1:12" ht="13.8" x14ac:dyDescent="0.25">
      <c r="A20" s="312"/>
      <c r="B20" s="339"/>
      <c r="C20" s="2439" t="str">
        <f>IF(F18&gt;0,CONCATENATE("Charge per foot of main over base of ",F18," feet (dollars)"),"Charge per foot of main over base (dollars)")</f>
        <v>Charge per foot of main over base (dollars)</v>
      </c>
      <c r="D20" s="2440"/>
      <c r="E20" s="2441"/>
      <c r="F20" s="331"/>
      <c r="G20" s="325"/>
      <c r="H20" s="325"/>
      <c r="I20" s="325"/>
      <c r="J20" s="325"/>
      <c r="K20" s="336"/>
      <c r="L20" s="299"/>
    </row>
    <row r="21" spans="1:12" ht="13.8" x14ac:dyDescent="0.25">
      <c r="A21" s="312"/>
      <c r="B21" s="339"/>
      <c r="C21" s="2442" t="s">
        <v>249</v>
      </c>
      <c r="D21" s="2443"/>
      <c r="E21" s="2444"/>
      <c r="F21" s="329"/>
      <c r="G21" s="325"/>
      <c r="H21" s="325"/>
      <c r="I21" s="325"/>
      <c r="J21" s="325"/>
      <c r="K21" s="336"/>
      <c r="L21" s="299"/>
    </row>
    <row r="22" spans="1:12" ht="13.8" x14ac:dyDescent="0.25">
      <c r="A22" s="313"/>
      <c r="B22" s="339"/>
      <c r="C22" s="2439" t="str">
        <f>IF(F20&gt;0,CONCATENATE("Charge per hydrant over base of ",F21," hydrants (dollars)"),"Charge per hydrant over base (dollars)")</f>
        <v>Charge per hydrant over base (dollars)</v>
      </c>
      <c r="D22" s="2440"/>
      <c r="E22" s="2441"/>
      <c r="F22" s="331"/>
      <c r="G22" s="325"/>
      <c r="H22" s="325"/>
      <c r="I22" s="325"/>
      <c r="J22" s="325"/>
      <c r="K22" s="336"/>
      <c r="L22" s="299"/>
    </row>
    <row r="23" spans="1:12" x14ac:dyDescent="0.25">
      <c r="A23" s="313"/>
      <c r="B23" s="339"/>
      <c r="C23" s="327"/>
      <c r="D23" s="327"/>
      <c r="E23" s="327"/>
      <c r="F23" s="326"/>
      <c r="G23" s="325"/>
      <c r="H23" s="325"/>
      <c r="I23" s="325"/>
      <c r="J23" s="325"/>
      <c r="K23" s="336"/>
      <c r="L23" s="299"/>
    </row>
    <row r="24" spans="1:12" ht="13.8" x14ac:dyDescent="0.25">
      <c r="A24" s="319"/>
      <c r="B24" s="347"/>
      <c r="C24" s="353"/>
      <c r="D24" s="320"/>
      <c r="E24" s="349"/>
      <c r="F24" s="350"/>
      <c r="G24" s="321"/>
      <c r="H24" s="320"/>
      <c r="I24" s="320"/>
      <c r="J24" s="320"/>
      <c r="K24" s="336"/>
      <c r="L24" s="299"/>
    </row>
    <row r="25" spans="1:12" ht="13.8" x14ac:dyDescent="0.25">
      <c r="A25" s="319"/>
      <c r="B25" s="347"/>
      <c r="C25" s="357" t="s">
        <v>252</v>
      </c>
      <c r="D25" s="355"/>
      <c r="E25" s="355"/>
      <c r="F25" s="747" t="str">
        <f>CONCATENATE("Mains",F19," Inches")</f>
        <v>Mains Inches</v>
      </c>
      <c r="G25" s="748"/>
      <c r="H25" s="749" t="s">
        <v>210</v>
      </c>
      <c r="I25" s="748"/>
      <c r="J25" s="750" t="s">
        <v>253</v>
      </c>
      <c r="K25" s="336"/>
      <c r="L25" s="299"/>
    </row>
    <row r="26" spans="1:12" ht="13.8" x14ac:dyDescent="0.25">
      <c r="A26" s="319"/>
      <c r="B26" s="347"/>
      <c r="C26" s="358"/>
      <c r="D26" s="325"/>
      <c r="E26" s="324"/>
      <c r="F26" s="752" t="s">
        <v>254</v>
      </c>
      <c r="G26" s="751"/>
      <c r="H26" s="752" t="s">
        <v>255</v>
      </c>
      <c r="I26" s="751"/>
      <c r="J26" s="753" t="s">
        <v>174</v>
      </c>
      <c r="K26" s="336"/>
      <c r="L26" s="299"/>
    </row>
    <row r="27" spans="1:12" ht="13.8" x14ac:dyDescent="0.25">
      <c r="A27" s="319"/>
      <c r="B27" s="347"/>
      <c r="C27" s="359"/>
      <c r="D27" s="325"/>
      <c r="E27" s="363"/>
      <c r="F27" s="325"/>
      <c r="G27" s="325"/>
      <c r="H27" s="325"/>
      <c r="I27" s="325"/>
      <c r="J27" s="356"/>
      <c r="K27" s="336"/>
      <c r="L27" s="299"/>
    </row>
    <row r="28" spans="1:12" ht="13.8" x14ac:dyDescent="0.25">
      <c r="A28" s="319"/>
      <c r="B28" s="347"/>
      <c r="C28" s="359" t="s">
        <v>256</v>
      </c>
      <c r="D28" s="353"/>
      <c r="E28" s="381"/>
      <c r="F28" s="754">
        <f>F18</f>
        <v>0</v>
      </c>
      <c r="G28" s="388" t="s">
        <v>257</v>
      </c>
      <c r="H28" s="754">
        <f>F21</f>
        <v>0</v>
      </c>
      <c r="I28" s="388" t="s">
        <v>258</v>
      </c>
      <c r="J28" s="755">
        <f>F17</f>
        <v>0</v>
      </c>
      <c r="K28" s="336"/>
      <c r="L28" s="299"/>
    </row>
    <row r="29" spans="1:12" ht="13.8" x14ac:dyDescent="0.25">
      <c r="A29" s="319"/>
      <c r="B29" s="347"/>
      <c r="C29" s="359"/>
      <c r="D29" s="353"/>
      <c r="E29" s="353"/>
      <c r="F29" s="384"/>
      <c r="G29" s="353"/>
      <c r="H29" s="384"/>
      <c r="I29" s="353"/>
      <c r="J29" s="756"/>
      <c r="K29" s="336"/>
      <c r="L29" s="299"/>
    </row>
    <row r="30" spans="1:12" ht="13.8" x14ac:dyDescent="0.25">
      <c r="A30" s="319"/>
      <c r="B30" s="347"/>
      <c r="C30" s="360" t="str">
        <f>CONCATENATE("Balance - 12/31/",TestYear-2)</f>
        <v>Balance - 12/31/2021</v>
      </c>
      <c r="D30" s="353"/>
      <c r="E30" s="353"/>
      <c r="F30" s="757">
        <v>0</v>
      </c>
      <c r="G30" s="353"/>
      <c r="H30" s="757">
        <v>0</v>
      </c>
      <c r="I30" s="388" t="s">
        <v>259</v>
      </c>
      <c r="J30" s="758" t="s">
        <v>259</v>
      </c>
      <c r="K30" s="336"/>
      <c r="L30" s="299"/>
    </row>
    <row r="31" spans="1:12" ht="13.8" x14ac:dyDescent="0.25">
      <c r="A31" s="319"/>
      <c r="B31" s="347"/>
      <c r="C31" s="360"/>
      <c r="D31" s="353"/>
      <c r="E31" s="353"/>
      <c r="F31" s="353"/>
      <c r="G31" s="353"/>
      <c r="H31" s="353"/>
      <c r="I31" s="388" t="s">
        <v>259</v>
      </c>
      <c r="J31" s="758" t="s">
        <v>259</v>
      </c>
      <c r="K31" s="336"/>
      <c r="L31" s="299"/>
    </row>
    <row r="32" spans="1:12" ht="13.8" x14ac:dyDescent="0.25">
      <c r="A32" s="319"/>
      <c r="B32" s="347"/>
      <c r="C32" s="360" t="str">
        <f>CONCATENATE(TestYear-1," NET additions")</f>
        <v>2022 NET additions</v>
      </c>
      <c r="D32" s="353"/>
      <c r="E32" s="353"/>
      <c r="F32" s="754">
        <f>Attach17!J13</f>
        <v>236</v>
      </c>
      <c r="G32" s="353"/>
      <c r="H32" s="754">
        <f>Attach17!J17</f>
        <v>1</v>
      </c>
      <c r="I32" s="388"/>
      <c r="J32" s="758" t="s">
        <v>259</v>
      </c>
      <c r="K32" s="336"/>
      <c r="L32" s="299"/>
    </row>
    <row r="33" spans="1:12" ht="13.8" x14ac:dyDescent="0.25">
      <c r="A33" s="319"/>
      <c r="B33" s="347"/>
      <c r="C33" s="360" t="str">
        <f>CONCATENATE("1/2 of test year ",TestYear," NET Routine units added")</f>
        <v>1/2 of test year 2023 NET Routine units added</v>
      </c>
      <c r="D33" s="353"/>
      <c r="E33" s="353"/>
      <c r="F33" s="754">
        <f>Attach17!J14*0.5</f>
        <v>0</v>
      </c>
      <c r="G33" s="353"/>
      <c r="H33" s="754">
        <f>Attach17!J18*0.5</f>
        <v>0</v>
      </c>
      <c r="I33" s="388"/>
      <c r="J33" s="758" t="s">
        <v>259</v>
      </c>
      <c r="K33" s="336"/>
      <c r="L33" s="299"/>
    </row>
    <row r="34" spans="1:12" ht="13.8" x14ac:dyDescent="0.25">
      <c r="A34" s="319"/>
      <c r="B34" s="347"/>
      <c r="C34" s="360" t="str">
        <f>CONCATENATE("All of Test Year ",TestYear," Major Units Added")</f>
        <v>All of Test Year 2023 Major Units Added</v>
      </c>
      <c r="D34" s="353"/>
      <c r="E34" s="353"/>
      <c r="F34" s="754">
        <f>Attach17!J15</f>
        <v>0</v>
      </c>
      <c r="G34" s="353"/>
      <c r="H34" s="754">
        <f>Attach17!J19</f>
        <v>0</v>
      </c>
      <c r="I34" s="388" t="s">
        <v>259</v>
      </c>
      <c r="J34" s="758" t="s">
        <v>259</v>
      </c>
      <c r="K34" s="336"/>
      <c r="L34" s="299"/>
    </row>
    <row r="35" spans="1:12" ht="13.8" x14ac:dyDescent="0.25">
      <c r="A35" s="319"/>
      <c r="B35" s="347"/>
      <c r="C35" s="360"/>
      <c r="D35" s="353"/>
      <c r="E35" s="353"/>
      <c r="F35" s="388"/>
      <c r="G35" s="353"/>
      <c r="H35" s="388"/>
      <c r="I35" s="388"/>
      <c r="J35" s="758" t="s">
        <v>259</v>
      </c>
      <c r="K35" s="336"/>
      <c r="L35" s="299"/>
    </row>
    <row r="36" spans="1:12" ht="13.8" x14ac:dyDescent="0.25">
      <c r="A36" s="319"/>
      <c r="B36" s="347"/>
      <c r="C36" s="359" t="s">
        <v>260</v>
      </c>
      <c r="D36" s="353"/>
      <c r="E36" s="353"/>
      <c r="F36" s="759">
        <f>SUM(F30:F34)</f>
        <v>236</v>
      </c>
      <c r="G36" s="354"/>
      <c r="H36" s="759">
        <f>SUM(H30:H34)</f>
        <v>1</v>
      </c>
      <c r="I36" s="388"/>
      <c r="J36" s="758" t="s">
        <v>259</v>
      </c>
      <c r="K36" s="336"/>
      <c r="L36" s="299"/>
    </row>
    <row r="37" spans="1:12" ht="13.8" x14ac:dyDescent="0.25">
      <c r="A37" s="319"/>
      <c r="B37" s="347"/>
      <c r="C37" s="359"/>
      <c r="D37" s="353"/>
      <c r="E37" s="353"/>
      <c r="F37" s="353"/>
      <c r="G37" s="353"/>
      <c r="H37" s="384"/>
      <c r="I37" s="388"/>
      <c r="J37" s="758" t="s">
        <v>259</v>
      </c>
      <c r="K37" s="336"/>
      <c r="L37" s="299"/>
    </row>
    <row r="38" spans="1:12" ht="13.8" x14ac:dyDescent="0.25">
      <c r="A38" s="319"/>
      <c r="B38" s="347"/>
      <c r="C38" s="361" t="s">
        <v>847</v>
      </c>
      <c r="D38" s="387"/>
      <c r="E38" s="353"/>
      <c r="F38" s="754">
        <f>IF(F28&gt;F36,0,F36-F28)</f>
        <v>236</v>
      </c>
      <c r="G38" s="354" t="s">
        <v>257</v>
      </c>
      <c r="H38" s="754">
        <f>IF(H28&gt;H36,0,H36-H28)</f>
        <v>1</v>
      </c>
      <c r="I38" s="388" t="s">
        <v>258</v>
      </c>
      <c r="J38" s="758" t="s">
        <v>259</v>
      </c>
      <c r="K38" s="336"/>
      <c r="L38" s="299"/>
    </row>
    <row r="39" spans="1:12" ht="13.8" x14ac:dyDescent="0.25">
      <c r="A39" s="319"/>
      <c r="B39" s="347"/>
      <c r="C39" s="361" t="s">
        <v>851</v>
      </c>
      <c r="D39" s="387"/>
      <c r="E39" s="353"/>
      <c r="F39" s="760">
        <f>F20</f>
        <v>0</v>
      </c>
      <c r="G39" s="354"/>
      <c r="H39" s="760">
        <f>F22</f>
        <v>0</v>
      </c>
      <c r="I39" s="353"/>
      <c r="J39" s="758" t="s">
        <v>259</v>
      </c>
      <c r="K39" s="336"/>
      <c r="L39" s="299"/>
    </row>
    <row r="40" spans="1:12" ht="13.8" x14ac:dyDescent="0.25">
      <c r="A40" s="319"/>
      <c r="B40" s="347"/>
      <c r="C40" s="358"/>
      <c r="D40" s="353"/>
      <c r="E40" s="353"/>
      <c r="F40" s="384"/>
      <c r="G40" s="353"/>
      <c r="H40" s="384"/>
      <c r="I40" s="353"/>
      <c r="J40" s="758"/>
      <c r="K40" s="336"/>
      <c r="L40" s="299"/>
    </row>
    <row r="41" spans="1:12" ht="14.4" thickBot="1" x14ac:dyDescent="0.3">
      <c r="A41" s="319"/>
      <c r="B41" s="347"/>
      <c r="C41" s="361" t="s">
        <v>848</v>
      </c>
      <c r="D41" s="387"/>
      <c r="E41" s="353"/>
      <c r="F41" s="761">
        <f>ROUND(F38*F39,0)</f>
        <v>0</v>
      </c>
      <c r="G41" s="353"/>
      <c r="H41" s="761">
        <f>ROUND(H38*H39,0)</f>
        <v>0</v>
      </c>
      <c r="I41" s="353"/>
      <c r="J41" s="762">
        <f>F41+H41</f>
        <v>0</v>
      </c>
      <c r="K41" s="336"/>
      <c r="L41" s="299"/>
    </row>
    <row r="42" spans="1:12" ht="14.4" thickTop="1" x14ac:dyDescent="0.25">
      <c r="A42" s="319"/>
      <c r="B42" s="347"/>
      <c r="C42" s="359"/>
      <c r="D42" s="353"/>
      <c r="E42" s="353"/>
      <c r="F42" s="388" t="s">
        <v>259</v>
      </c>
      <c r="G42" s="353"/>
      <c r="H42" s="388" t="s">
        <v>259</v>
      </c>
      <c r="I42" s="388" t="s">
        <v>259</v>
      </c>
      <c r="J42" s="763"/>
      <c r="K42" s="336"/>
      <c r="L42" s="299"/>
    </row>
    <row r="43" spans="1:12" ht="13.8" x14ac:dyDescent="0.25">
      <c r="A43" s="319"/>
      <c r="B43" s="347"/>
      <c r="C43" s="362" t="s">
        <v>849</v>
      </c>
      <c r="D43" s="764"/>
      <c r="E43" s="765"/>
      <c r="F43" s="766" t="s">
        <v>259</v>
      </c>
      <c r="G43" s="765"/>
      <c r="H43" s="766" t="s">
        <v>259</v>
      </c>
      <c r="I43" s="766" t="s">
        <v>259</v>
      </c>
      <c r="J43" s="762">
        <f>SUM(J27:J41)</f>
        <v>0</v>
      </c>
      <c r="K43" s="336"/>
      <c r="L43" s="299"/>
    </row>
    <row r="44" spans="1:12" ht="13.8" x14ac:dyDescent="0.25">
      <c r="A44" s="319"/>
      <c r="B44" s="347"/>
      <c r="C44" s="325"/>
      <c r="D44" s="325"/>
      <c r="E44" s="325"/>
      <c r="F44" s="326"/>
      <c r="G44" s="325"/>
      <c r="H44" s="325"/>
      <c r="I44" s="325"/>
      <c r="J44" s="325"/>
      <c r="K44" s="336"/>
      <c r="L44" s="299"/>
    </row>
    <row r="45" spans="1:12" ht="13.8" x14ac:dyDescent="0.25">
      <c r="A45" s="319"/>
      <c r="B45" s="347"/>
      <c r="C45" s="325"/>
      <c r="D45" s="325"/>
      <c r="E45" s="325"/>
      <c r="F45" s="326"/>
      <c r="G45" s="325"/>
      <c r="H45" s="325"/>
      <c r="I45" s="325"/>
      <c r="J45" s="325"/>
      <c r="K45" s="336"/>
      <c r="L45" s="299"/>
    </row>
    <row r="46" spans="1:12" ht="13.8" x14ac:dyDescent="0.25">
      <c r="A46" s="319"/>
      <c r="B46" s="347"/>
      <c r="C46" s="325"/>
      <c r="D46" s="325"/>
      <c r="E46" s="325"/>
      <c r="F46" s="326"/>
      <c r="G46" s="325"/>
      <c r="H46" s="325"/>
      <c r="I46" s="325"/>
      <c r="J46" s="325"/>
      <c r="K46" s="336"/>
      <c r="L46" s="299"/>
    </row>
    <row r="47" spans="1:12" ht="13.8" thickBot="1" x14ac:dyDescent="0.3">
      <c r="A47" s="313"/>
      <c r="B47" s="340"/>
      <c r="C47" s="341"/>
      <c r="D47" s="341"/>
      <c r="E47" s="341"/>
      <c r="F47" s="342"/>
      <c r="G47" s="341"/>
      <c r="H47" s="341"/>
      <c r="I47" s="341"/>
      <c r="J47" s="341"/>
      <c r="K47" s="343"/>
      <c r="L47" s="299"/>
    </row>
    <row r="48" spans="1:12" ht="13.8" thickTop="1" x14ac:dyDescent="0.25">
      <c r="A48" s="315"/>
      <c r="B48" s="315"/>
      <c r="C48" s="311"/>
      <c r="D48" s="311"/>
      <c r="E48" s="311"/>
      <c r="F48" s="311"/>
      <c r="G48" s="311"/>
      <c r="H48" s="311"/>
      <c r="I48" s="311"/>
      <c r="J48" s="311"/>
      <c r="K48" s="299"/>
      <c r="L48" s="299"/>
    </row>
    <row r="49" spans="1:12" ht="13.8" thickBot="1" x14ac:dyDescent="0.3">
      <c r="A49" s="305"/>
      <c r="B49" s="299"/>
      <c r="C49" s="306"/>
      <c r="D49" s="307"/>
      <c r="E49" s="307"/>
      <c r="F49" s="307"/>
      <c r="G49" s="307"/>
      <c r="H49" s="307"/>
      <c r="I49" s="307"/>
      <c r="J49" s="305"/>
      <c r="K49" s="299"/>
      <c r="L49" s="299"/>
    </row>
    <row r="50" spans="1:12" ht="27" customHeight="1" thickTop="1" x14ac:dyDescent="0.25">
      <c r="A50" s="309"/>
      <c r="B50" s="373"/>
      <c r="C50" s="2428" t="s">
        <v>1361</v>
      </c>
      <c r="D50" s="2428"/>
      <c r="E50" s="2428"/>
      <c r="F50" s="2428"/>
      <c r="G50" s="2428"/>
      <c r="H50" s="2428"/>
      <c r="I50" s="2428"/>
      <c r="J50" s="2428"/>
      <c r="K50" s="335"/>
      <c r="L50" s="299"/>
    </row>
    <row r="51" spans="1:12" x14ac:dyDescent="0.25">
      <c r="A51" s="309"/>
      <c r="B51" s="375"/>
      <c r="C51" s="2051" t="s">
        <v>1281</v>
      </c>
      <c r="D51" s="349"/>
      <c r="E51" s="325"/>
      <c r="F51" s="325"/>
      <c r="G51" s="325"/>
      <c r="H51" s="325"/>
      <c r="I51" s="325"/>
      <c r="J51" s="364"/>
      <c r="K51" s="336"/>
      <c r="L51" s="299"/>
    </row>
    <row r="52" spans="1:12" x14ac:dyDescent="0.25">
      <c r="A52" s="309"/>
      <c r="B52" s="375"/>
      <c r="C52" s="327"/>
      <c r="D52" s="349"/>
      <c r="E52" s="325"/>
      <c r="F52" s="325"/>
      <c r="G52" s="325"/>
      <c r="H52" s="325"/>
      <c r="I52" s="325"/>
      <c r="J52" s="364"/>
      <c r="K52" s="336"/>
      <c r="L52" s="299"/>
    </row>
    <row r="53" spans="1:12" x14ac:dyDescent="0.25">
      <c r="A53" s="78"/>
      <c r="B53" s="378" t="s">
        <v>846</v>
      </c>
      <c r="C53" s="322"/>
      <c r="D53" s="325"/>
      <c r="E53" s="349"/>
      <c r="F53" s="349"/>
      <c r="G53" s="365"/>
      <c r="H53" s="365"/>
      <c r="I53" s="365"/>
      <c r="J53" s="325"/>
      <c r="K53" s="336"/>
      <c r="L53" s="299"/>
    </row>
    <row r="54" spans="1:12" x14ac:dyDescent="0.25">
      <c r="A54" s="78"/>
      <c r="B54" s="229"/>
      <c r="C54" s="327" t="s">
        <v>262</v>
      </c>
      <c r="D54" s="325"/>
      <c r="E54" s="325"/>
      <c r="F54" s="325"/>
      <c r="G54" s="325"/>
      <c r="H54" s="325"/>
      <c r="I54" s="325"/>
      <c r="J54" s="325"/>
      <c r="K54" s="336"/>
      <c r="L54" s="299"/>
    </row>
    <row r="55" spans="1:12" x14ac:dyDescent="0.25">
      <c r="A55" s="78"/>
      <c r="B55" s="229"/>
      <c r="C55" s="327"/>
      <c r="D55" s="325"/>
      <c r="E55" s="325"/>
      <c r="F55" s="325"/>
      <c r="G55" s="325"/>
      <c r="H55" s="325"/>
      <c r="I55" s="325"/>
      <c r="J55" s="325"/>
      <c r="K55" s="336"/>
      <c r="L55" s="299"/>
    </row>
    <row r="56" spans="1:12" x14ac:dyDescent="0.25">
      <c r="A56" s="78"/>
      <c r="B56" s="229"/>
      <c r="C56" s="366" t="s">
        <v>263</v>
      </c>
      <c r="D56" s="379">
        <f>BillingPeriods</f>
        <v>12</v>
      </c>
      <c r="E56" s="325"/>
      <c r="F56" s="325"/>
      <c r="G56" s="323"/>
      <c r="H56" s="323"/>
      <c r="I56" s="323"/>
      <c r="J56" s="325"/>
      <c r="K56" s="336"/>
      <c r="L56" s="299"/>
    </row>
    <row r="57" spans="1:12" x14ac:dyDescent="0.25">
      <c r="A57" s="78"/>
      <c r="B57" s="229"/>
      <c r="C57" s="325"/>
      <c r="D57" s="325"/>
      <c r="E57" s="325"/>
      <c r="F57" s="363"/>
      <c r="G57" s="363"/>
      <c r="H57" s="349"/>
      <c r="I57" s="325"/>
      <c r="J57" s="349"/>
      <c r="K57" s="336"/>
      <c r="L57" s="299"/>
    </row>
    <row r="58" spans="1:12" ht="13.8" x14ac:dyDescent="0.25">
      <c r="A58" s="78"/>
      <c r="B58" s="229"/>
      <c r="C58" s="739"/>
      <c r="D58" s="739" t="s">
        <v>264</v>
      </c>
      <c r="E58" s="2426" t="s">
        <v>840</v>
      </c>
      <c r="F58" s="2426"/>
      <c r="G58" s="739"/>
      <c r="H58" s="738"/>
      <c r="I58" s="349"/>
      <c r="J58" s="348"/>
      <c r="K58" s="336"/>
      <c r="L58" s="299"/>
    </row>
    <row r="59" spans="1:12" ht="13.8" x14ac:dyDescent="0.25">
      <c r="A59" s="78"/>
      <c r="B59" s="229"/>
      <c r="C59" s="742" t="s">
        <v>159</v>
      </c>
      <c r="D59" s="742" t="s">
        <v>224</v>
      </c>
      <c r="E59" s="2427" t="s">
        <v>267</v>
      </c>
      <c r="F59" s="2427"/>
      <c r="G59" s="2438" t="s">
        <v>850</v>
      </c>
      <c r="H59" s="2438"/>
      <c r="I59" s="367"/>
      <c r="J59" s="348"/>
      <c r="K59" s="336"/>
      <c r="L59" s="299"/>
    </row>
    <row r="60" spans="1:12" ht="13.8" x14ac:dyDescent="0.25">
      <c r="A60" s="78"/>
      <c r="B60" s="229"/>
      <c r="C60" s="381" t="s">
        <v>177</v>
      </c>
      <c r="D60" s="382">
        <v>10.7</v>
      </c>
      <c r="E60" s="2424">
        <f>Attach3B!M18-Attach3B!L18</f>
        <v>644</v>
      </c>
      <c r="F60" s="2425"/>
      <c r="G60" s="2423">
        <f>IF(ISERROR($D$56*E60*D60),0,$D$56*E60*D60)</f>
        <v>82689.599999999991</v>
      </c>
      <c r="H60" s="2423"/>
      <c r="I60" s="367"/>
      <c r="J60" s="348"/>
      <c r="K60" s="336"/>
      <c r="L60" s="299"/>
    </row>
    <row r="61" spans="1:12" ht="13.8" x14ac:dyDescent="0.25">
      <c r="A61" s="78"/>
      <c r="B61" s="229"/>
      <c r="C61" s="381" t="s">
        <v>178</v>
      </c>
      <c r="D61" s="383">
        <v>10.7</v>
      </c>
      <c r="E61" s="2424">
        <f>Attach3B!M19-Attach3B!L19</f>
        <v>0</v>
      </c>
      <c r="F61" s="2425"/>
      <c r="G61" s="2423">
        <f t="shared" ref="G61:G72" si="0">IF(ISERROR($D$56*E61*D61),0,$D$56*E61*D61)</f>
        <v>0</v>
      </c>
      <c r="H61" s="2423"/>
      <c r="I61" s="367"/>
      <c r="J61" s="348"/>
      <c r="K61" s="336"/>
      <c r="L61" s="299"/>
    </row>
    <row r="62" spans="1:12" ht="13.8" x14ac:dyDescent="0.25">
      <c r="A62" s="180"/>
      <c r="B62" s="229"/>
      <c r="C62" s="381" t="s">
        <v>179</v>
      </c>
      <c r="D62" s="383">
        <v>27.32</v>
      </c>
      <c r="E62" s="2424">
        <f>Attach3B!M20-Attach3B!L20</f>
        <v>13</v>
      </c>
      <c r="F62" s="2425"/>
      <c r="G62" s="2423">
        <f t="shared" si="0"/>
        <v>4261.92</v>
      </c>
      <c r="H62" s="2423"/>
      <c r="I62" s="367"/>
      <c r="J62" s="348"/>
      <c r="K62" s="336"/>
      <c r="L62" s="299"/>
    </row>
    <row r="63" spans="1:12" ht="13.8" x14ac:dyDescent="0.25">
      <c r="A63" s="180"/>
      <c r="B63" s="229"/>
      <c r="C63" s="381" t="s">
        <v>180</v>
      </c>
      <c r="D63" s="383">
        <v>39.340000000000003</v>
      </c>
      <c r="E63" s="2424">
        <f>Attach3B!M21-Attach3B!L21</f>
        <v>0</v>
      </c>
      <c r="F63" s="2425"/>
      <c r="G63" s="2423">
        <f t="shared" si="0"/>
        <v>0</v>
      </c>
      <c r="H63" s="2423"/>
      <c r="I63" s="367"/>
      <c r="J63" s="348"/>
      <c r="K63" s="336"/>
      <c r="L63" s="299"/>
    </row>
    <row r="64" spans="1:12" ht="13.8" x14ac:dyDescent="0.25">
      <c r="A64" s="180"/>
      <c r="B64" s="229"/>
      <c r="C64" s="381" t="s">
        <v>181</v>
      </c>
      <c r="D64" s="383">
        <v>53.54</v>
      </c>
      <c r="E64" s="2424">
        <f>Attach3B!M22-Attach3B!L22</f>
        <v>4</v>
      </c>
      <c r="F64" s="2425"/>
      <c r="G64" s="2423">
        <f t="shared" si="0"/>
        <v>2569.92</v>
      </c>
      <c r="H64" s="2423"/>
      <c r="I64" s="367"/>
      <c r="J64" s="348"/>
      <c r="K64" s="336"/>
      <c r="L64" s="299"/>
    </row>
    <row r="65" spans="1:12" ht="13.8" x14ac:dyDescent="0.25">
      <c r="A65" s="305"/>
      <c r="B65" s="374"/>
      <c r="C65" s="381" t="s">
        <v>182</v>
      </c>
      <c r="D65" s="383">
        <v>85.23</v>
      </c>
      <c r="E65" s="2424">
        <f>Attach3B!M23-Attach3B!L23</f>
        <v>6</v>
      </c>
      <c r="F65" s="2425"/>
      <c r="G65" s="2423">
        <f t="shared" si="0"/>
        <v>6136.56</v>
      </c>
      <c r="H65" s="2423"/>
      <c r="I65" s="367"/>
      <c r="J65" s="348"/>
      <c r="K65" s="336"/>
      <c r="L65" s="299"/>
    </row>
    <row r="66" spans="1:12" ht="13.8" x14ac:dyDescent="0.25">
      <c r="A66" s="299"/>
      <c r="B66" s="374"/>
      <c r="C66" s="381" t="s">
        <v>183</v>
      </c>
      <c r="D66" s="383">
        <v>0</v>
      </c>
      <c r="E66" s="2424">
        <f>Attach3B!M24-Attach3B!L24</f>
        <v>0</v>
      </c>
      <c r="F66" s="2425"/>
      <c r="G66" s="2423">
        <f t="shared" si="0"/>
        <v>0</v>
      </c>
      <c r="H66" s="2423"/>
      <c r="I66" s="367"/>
      <c r="J66" s="348"/>
      <c r="K66" s="336"/>
      <c r="L66" s="299"/>
    </row>
    <row r="67" spans="1:12" ht="13.8" x14ac:dyDescent="0.25">
      <c r="A67" s="299"/>
      <c r="B67" s="374"/>
      <c r="C67" s="381" t="s">
        <v>184</v>
      </c>
      <c r="D67" s="383">
        <v>160.63</v>
      </c>
      <c r="E67" s="2424">
        <f>Attach3B!M25-Attach3B!L25</f>
        <v>2</v>
      </c>
      <c r="F67" s="2425"/>
      <c r="G67" s="2423">
        <f t="shared" si="0"/>
        <v>3855.12</v>
      </c>
      <c r="H67" s="2423"/>
      <c r="I67" s="367"/>
      <c r="J67" s="348"/>
      <c r="K67" s="336"/>
      <c r="L67" s="299"/>
    </row>
    <row r="68" spans="1:12" ht="13.8" x14ac:dyDescent="0.25">
      <c r="A68" s="299"/>
      <c r="B68" s="374"/>
      <c r="C68" s="381" t="s">
        <v>185</v>
      </c>
      <c r="D68" s="383">
        <v>267.72000000000003</v>
      </c>
      <c r="E68" s="2424">
        <f>Attach3B!M26-Attach3B!L26</f>
        <v>0</v>
      </c>
      <c r="F68" s="2425"/>
      <c r="G68" s="2423">
        <f t="shared" si="0"/>
        <v>0</v>
      </c>
      <c r="H68" s="2423"/>
      <c r="I68" s="325"/>
      <c r="J68" s="348"/>
      <c r="K68" s="336"/>
      <c r="L68" s="299"/>
    </row>
    <row r="69" spans="1:12" ht="13.8" x14ac:dyDescent="0.25">
      <c r="A69" s="299"/>
      <c r="B69" s="374"/>
      <c r="C69" s="381" t="s">
        <v>186</v>
      </c>
      <c r="D69" s="383">
        <v>535.44000000000005</v>
      </c>
      <c r="E69" s="2424">
        <f>Attach3B!M27-Attach3B!L27</f>
        <v>0</v>
      </c>
      <c r="F69" s="2425"/>
      <c r="G69" s="2423">
        <f t="shared" si="0"/>
        <v>0</v>
      </c>
      <c r="H69" s="2423"/>
      <c r="I69" s="325"/>
      <c r="J69" s="348"/>
      <c r="K69" s="336"/>
      <c r="L69" s="299"/>
    </row>
    <row r="70" spans="1:12" ht="13.8" x14ac:dyDescent="0.25">
      <c r="A70" s="299"/>
      <c r="B70" s="374"/>
      <c r="C70" s="381" t="s">
        <v>187</v>
      </c>
      <c r="D70" s="383">
        <v>857.79</v>
      </c>
      <c r="E70" s="2424">
        <f>Attach3B!M28-Attach3B!L28</f>
        <v>0</v>
      </c>
      <c r="F70" s="2425"/>
      <c r="G70" s="2423">
        <f t="shared" si="0"/>
        <v>0</v>
      </c>
      <c r="H70" s="2423"/>
      <c r="I70" s="325"/>
      <c r="J70" s="348"/>
      <c r="K70" s="336"/>
      <c r="L70" s="299"/>
    </row>
    <row r="71" spans="1:12" ht="13.8" x14ac:dyDescent="0.25">
      <c r="A71" s="299"/>
      <c r="B71" s="374"/>
      <c r="C71" s="381" t="s">
        <v>188</v>
      </c>
      <c r="D71" s="383">
        <v>1283.96</v>
      </c>
      <c r="E71" s="2424">
        <f>Attach3B!M29-Attach3B!L29</f>
        <v>0</v>
      </c>
      <c r="F71" s="2425"/>
      <c r="G71" s="2423">
        <f t="shared" si="0"/>
        <v>0</v>
      </c>
      <c r="H71" s="2423"/>
      <c r="I71" s="325"/>
      <c r="J71" s="348"/>
      <c r="K71" s="336"/>
      <c r="L71" s="299"/>
    </row>
    <row r="72" spans="1:12" ht="13.8" x14ac:dyDescent="0.25">
      <c r="A72" s="299"/>
      <c r="B72" s="374"/>
      <c r="C72" s="381" t="s">
        <v>189</v>
      </c>
      <c r="D72" s="383">
        <v>1710.12</v>
      </c>
      <c r="E72" s="2436">
        <f>Attach3B!M30-Attach3B!L30</f>
        <v>0</v>
      </c>
      <c r="F72" s="2437"/>
      <c r="G72" s="2422">
        <f t="shared" si="0"/>
        <v>0</v>
      </c>
      <c r="H72" s="2422"/>
      <c r="I72" s="325"/>
      <c r="J72" s="348"/>
      <c r="K72" s="336"/>
      <c r="L72" s="299"/>
    </row>
    <row r="73" spans="1:12" ht="13.8" x14ac:dyDescent="0.25">
      <c r="A73" s="299"/>
      <c r="B73" s="374"/>
      <c r="C73" s="353"/>
      <c r="D73" s="353"/>
      <c r="E73" s="384"/>
      <c r="F73" s="353"/>
      <c r="G73" s="385"/>
      <c r="H73" s="386"/>
      <c r="I73" s="325"/>
      <c r="J73" s="348"/>
      <c r="K73" s="336"/>
      <c r="L73" s="299"/>
    </row>
    <row r="74" spans="1:12" ht="14.4" thickBot="1" x14ac:dyDescent="0.3">
      <c r="A74" s="305"/>
      <c r="B74" s="374"/>
      <c r="C74" s="387" t="s">
        <v>269</v>
      </c>
      <c r="D74" s="353"/>
      <c r="E74" s="2432">
        <f>SUM(E60:E72)</f>
        <v>669</v>
      </c>
      <c r="F74" s="2432"/>
      <c r="G74" s="2435">
        <f>ROUND(SUM(G60:G72),0)</f>
        <v>99513</v>
      </c>
      <c r="H74" s="2435"/>
      <c r="I74" s="325"/>
      <c r="J74" s="348"/>
      <c r="K74" s="336"/>
      <c r="L74" s="299"/>
    </row>
    <row r="75" spans="1:12" ht="14.4" thickTop="1" x14ac:dyDescent="0.25">
      <c r="A75" s="299"/>
      <c r="B75" s="374"/>
      <c r="C75" s="353"/>
      <c r="D75" s="353"/>
      <c r="E75" s="388"/>
      <c r="F75" s="353"/>
      <c r="G75" s="385"/>
      <c r="H75" s="386"/>
      <c r="I75" s="325"/>
      <c r="J75" s="348"/>
      <c r="K75" s="336"/>
      <c r="L75" s="299"/>
    </row>
    <row r="76" spans="1:12" s="26" customFormat="1" ht="13.8" x14ac:dyDescent="0.25">
      <c r="A76" s="309"/>
      <c r="B76" s="375"/>
      <c r="C76" s="387" t="s">
        <v>270</v>
      </c>
      <c r="D76" s="389"/>
      <c r="E76" s="389"/>
      <c r="F76" s="353"/>
      <c r="G76" s="2433">
        <v>0</v>
      </c>
      <c r="H76" s="2434"/>
      <c r="I76" s="325"/>
      <c r="J76" s="348"/>
      <c r="K76" s="336"/>
      <c r="L76" s="305"/>
    </row>
    <row r="77" spans="1:12" s="26" customFormat="1" ht="13.8" x14ac:dyDescent="0.25">
      <c r="A77" s="305"/>
      <c r="B77" s="374"/>
      <c r="C77" s="381"/>
      <c r="D77" s="389"/>
      <c r="E77" s="389"/>
      <c r="F77" s="390"/>
      <c r="G77" s="391"/>
      <c r="H77" s="386"/>
      <c r="I77" s="325"/>
      <c r="J77" s="348"/>
      <c r="K77" s="336"/>
      <c r="L77" s="305"/>
    </row>
    <row r="78" spans="1:12" ht="14.4" thickBot="1" x14ac:dyDescent="0.3">
      <c r="A78" s="299"/>
      <c r="B78" s="374"/>
      <c r="C78" s="387" t="s">
        <v>271</v>
      </c>
      <c r="D78" s="389"/>
      <c r="E78" s="389"/>
      <c r="F78" s="385"/>
      <c r="G78" s="2435">
        <f>SUM(G73:G76)</f>
        <v>99513</v>
      </c>
      <c r="H78" s="2435"/>
      <c r="I78" s="348"/>
      <c r="J78" s="348"/>
      <c r="K78" s="336"/>
      <c r="L78" s="299"/>
    </row>
    <row r="79" spans="1:12" ht="13.8" thickTop="1" x14ac:dyDescent="0.25">
      <c r="A79" s="299"/>
      <c r="B79" s="374"/>
      <c r="C79" s="325"/>
      <c r="D79" s="363"/>
      <c r="E79" s="349"/>
      <c r="F79" s="349"/>
      <c r="G79" s="369"/>
      <c r="H79" s="370"/>
      <c r="I79" s="367"/>
      <c r="J79" s="325"/>
      <c r="K79" s="336"/>
      <c r="L79" s="299"/>
    </row>
    <row r="80" spans="1:12" x14ac:dyDescent="0.25">
      <c r="A80" s="299"/>
      <c r="B80" s="2429" t="s">
        <v>1232</v>
      </c>
      <c r="C80" s="2430"/>
      <c r="D80" s="2430"/>
      <c r="E80" s="2430"/>
      <c r="F80" s="2430"/>
      <c r="G80" s="2430"/>
      <c r="H80" s="2430"/>
      <c r="I80" s="2430"/>
      <c r="J80" s="2430"/>
      <c r="K80" s="2431"/>
      <c r="L80" s="299"/>
    </row>
    <row r="81" spans="1:12" x14ac:dyDescent="0.25">
      <c r="A81" s="299"/>
      <c r="B81" s="2429"/>
      <c r="C81" s="2430"/>
      <c r="D81" s="2430"/>
      <c r="E81" s="2430"/>
      <c r="F81" s="2430"/>
      <c r="G81" s="2430"/>
      <c r="H81" s="2430"/>
      <c r="I81" s="2430"/>
      <c r="J81" s="2430"/>
      <c r="K81" s="2431"/>
      <c r="L81" s="299"/>
    </row>
    <row r="82" spans="1:12" x14ac:dyDescent="0.25">
      <c r="A82" s="299"/>
      <c r="B82" s="374"/>
      <c r="C82" s="2399"/>
      <c r="D82" s="2400"/>
      <c r="E82" s="2400"/>
      <c r="F82" s="2400"/>
      <c r="G82" s="2400"/>
      <c r="H82" s="2400"/>
      <c r="I82" s="2400"/>
      <c r="J82" s="2401"/>
      <c r="K82" s="336"/>
      <c r="L82" s="299"/>
    </row>
    <row r="83" spans="1:12" x14ac:dyDescent="0.25">
      <c r="A83" s="299"/>
      <c r="B83" s="374"/>
      <c r="C83" s="2402"/>
      <c r="D83" s="2403"/>
      <c r="E83" s="2403"/>
      <c r="F83" s="2403"/>
      <c r="G83" s="2403"/>
      <c r="H83" s="2403"/>
      <c r="I83" s="2403"/>
      <c r="J83" s="2404"/>
      <c r="K83" s="336"/>
      <c r="L83" s="299"/>
    </row>
    <row r="84" spans="1:12" x14ac:dyDescent="0.25">
      <c r="A84" s="299"/>
      <c r="B84" s="374"/>
      <c r="C84" s="2402"/>
      <c r="D84" s="2403"/>
      <c r="E84" s="2403"/>
      <c r="F84" s="2403"/>
      <c r="G84" s="2403"/>
      <c r="H84" s="2403"/>
      <c r="I84" s="2403"/>
      <c r="J84" s="2404"/>
      <c r="K84" s="336"/>
      <c r="L84" s="299"/>
    </row>
    <row r="85" spans="1:12" x14ac:dyDescent="0.25">
      <c r="A85" s="299"/>
      <c r="B85" s="374"/>
      <c r="C85" s="2402"/>
      <c r="D85" s="2403"/>
      <c r="E85" s="2403"/>
      <c r="F85" s="2403"/>
      <c r="G85" s="2403"/>
      <c r="H85" s="2403"/>
      <c r="I85" s="2403"/>
      <c r="J85" s="2404"/>
      <c r="K85" s="336"/>
      <c r="L85" s="299"/>
    </row>
    <row r="86" spans="1:12" x14ac:dyDescent="0.25">
      <c r="A86" s="299"/>
      <c r="B86" s="374"/>
      <c r="C86" s="2402"/>
      <c r="D86" s="2403"/>
      <c r="E86" s="2403"/>
      <c r="F86" s="2403"/>
      <c r="G86" s="2403"/>
      <c r="H86" s="2403"/>
      <c r="I86" s="2403"/>
      <c r="J86" s="2404"/>
      <c r="K86" s="336"/>
      <c r="L86" s="299"/>
    </row>
    <row r="87" spans="1:12" x14ac:dyDescent="0.25">
      <c r="A87" s="299"/>
      <c r="B87" s="374"/>
      <c r="C87" s="2402"/>
      <c r="D87" s="2403"/>
      <c r="E87" s="2403"/>
      <c r="F87" s="2403"/>
      <c r="G87" s="2403"/>
      <c r="H87" s="2403"/>
      <c r="I87" s="2403"/>
      <c r="J87" s="2404"/>
      <c r="K87" s="336"/>
      <c r="L87" s="299"/>
    </row>
    <row r="88" spans="1:12" x14ac:dyDescent="0.25">
      <c r="A88" s="299"/>
      <c r="B88" s="374"/>
      <c r="C88" s="2402"/>
      <c r="D88" s="2403"/>
      <c r="E88" s="2403"/>
      <c r="F88" s="2403"/>
      <c r="G88" s="2403"/>
      <c r="H88" s="2403"/>
      <c r="I88" s="2403"/>
      <c r="J88" s="2404"/>
      <c r="K88" s="336"/>
      <c r="L88" s="299"/>
    </row>
    <row r="89" spans="1:12" x14ac:dyDescent="0.25">
      <c r="A89" s="299"/>
      <c r="B89" s="374"/>
      <c r="C89" s="2402"/>
      <c r="D89" s="2403"/>
      <c r="E89" s="2403"/>
      <c r="F89" s="2403"/>
      <c r="G89" s="2403"/>
      <c r="H89" s="2403"/>
      <c r="I89" s="2403"/>
      <c r="J89" s="2404"/>
      <c r="K89" s="336"/>
      <c r="L89" s="299"/>
    </row>
    <row r="90" spans="1:12" x14ac:dyDescent="0.25">
      <c r="A90" s="299"/>
      <c r="B90" s="374"/>
      <c r="C90" s="2402"/>
      <c r="D90" s="2403"/>
      <c r="E90" s="2403"/>
      <c r="F90" s="2403"/>
      <c r="G90" s="2403"/>
      <c r="H90" s="2403"/>
      <c r="I90" s="2403"/>
      <c r="J90" s="2404"/>
      <c r="K90" s="336"/>
      <c r="L90" s="299"/>
    </row>
    <row r="91" spans="1:12" x14ac:dyDescent="0.25">
      <c r="A91" s="299"/>
      <c r="B91" s="374"/>
      <c r="C91" s="2402"/>
      <c r="D91" s="2403"/>
      <c r="E91" s="2403"/>
      <c r="F91" s="2403"/>
      <c r="G91" s="2403"/>
      <c r="H91" s="2403"/>
      <c r="I91" s="2403"/>
      <c r="J91" s="2404"/>
      <c r="K91" s="336"/>
      <c r="L91" s="299"/>
    </row>
    <row r="92" spans="1:12" x14ac:dyDescent="0.25">
      <c r="A92" s="299"/>
      <c r="B92" s="374"/>
      <c r="C92" s="2402"/>
      <c r="D92" s="2403"/>
      <c r="E92" s="2403"/>
      <c r="F92" s="2403"/>
      <c r="G92" s="2403"/>
      <c r="H92" s="2403"/>
      <c r="I92" s="2403"/>
      <c r="J92" s="2404"/>
      <c r="K92" s="336"/>
      <c r="L92" s="299"/>
    </row>
    <row r="93" spans="1:12" x14ac:dyDescent="0.25">
      <c r="A93" s="299"/>
      <c r="B93" s="374"/>
      <c r="C93" s="2405"/>
      <c r="D93" s="2406"/>
      <c r="E93" s="2406"/>
      <c r="F93" s="2406"/>
      <c r="G93" s="2406"/>
      <c r="H93" s="2406"/>
      <c r="I93" s="2406"/>
      <c r="J93" s="2407"/>
      <c r="K93" s="336"/>
      <c r="L93" s="299"/>
    </row>
    <row r="94" spans="1:12" x14ac:dyDescent="0.25">
      <c r="A94" s="299"/>
      <c r="B94" s="374"/>
      <c r="C94" s="348"/>
      <c r="D94" s="348"/>
      <c r="E94" s="348"/>
      <c r="F94" s="371"/>
      <c r="G94" s="371"/>
      <c r="H94" s="348"/>
      <c r="I94" s="348"/>
      <c r="J94" s="372"/>
      <c r="K94" s="336"/>
      <c r="L94" s="299"/>
    </row>
    <row r="95" spans="1:12" ht="13.8" thickBot="1" x14ac:dyDescent="0.3">
      <c r="A95" s="299"/>
      <c r="B95" s="376"/>
      <c r="C95" s="377"/>
      <c r="D95" s="377"/>
      <c r="E95" s="377"/>
      <c r="F95" s="377"/>
      <c r="G95" s="377"/>
      <c r="H95" s="377"/>
      <c r="I95" s="377"/>
      <c r="J95" s="377"/>
      <c r="K95" s="343"/>
      <c r="L95" s="299"/>
    </row>
    <row r="96" spans="1:12" ht="13.8" thickTop="1" x14ac:dyDescent="0.25">
      <c r="A96" s="299"/>
      <c r="B96" s="299"/>
      <c r="C96" s="299"/>
      <c r="D96" s="299"/>
      <c r="E96" s="299"/>
      <c r="F96" s="299"/>
      <c r="G96" s="299"/>
      <c r="H96" s="299"/>
      <c r="I96" s="299"/>
      <c r="J96" s="299"/>
      <c r="K96" s="299"/>
      <c r="L96" s="299"/>
    </row>
    <row r="97" spans="1:12" x14ac:dyDescent="0.25">
      <c r="A97" s="299"/>
      <c r="B97" s="299"/>
      <c r="C97" s="299"/>
      <c r="D97" s="299"/>
      <c r="E97" s="299"/>
      <c r="F97" s="299"/>
      <c r="G97" s="299"/>
      <c r="H97" s="299"/>
      <c r="I97" s="299"/>
      <c r="J97" s="299"/>
      <c r="K97" s="299"/>
      <c r="L97" s="299"/>
    </row>
    <row r="98" spans="1:12" x14ac:dyDescent="0.25">
      <c r="A98" s="299"/>
      <c r="B98" s="299"/>
      <c r="C98" s="299"/>
      <c r="D98" s="299"/>
      <c r="E98" s="299"/>
      <c r="F98" s="299"/>
      <c r="G98" s="299"/>
      <c r="H98" s="299"/>
      <c r="I98" s="299"/>
      <c r="J98" s="299"/>
      <c r="K98" s="299"/>
      <c r="L98" s="299"/>
    </row>
    <row r="99" spans="1:12" x14ac:dyDescent="0.25">
      <c r="A99" s="299"/>
      <c r="B99" s="299"/>
      <c r="C99" s="299"/>
      <c r="D99" s="299"/>
      <c r="E99" s="299"/>
      <c r="F99" s="299"/>
      <c r="G99" s="299"/>
      <c r="H99" s="299"/>
      <c r="I99" s="299"/>
      <c r="J99" s="299"/>
      <c r="K99" s="299"/>
      <c r="L99" s="299"/>
    </row>
    <row r="100" spans="1:12" x14ac:dyDescent="0.25">
      <c r="A100" s="299"/>
      <c r="B100" s="299"/>
      <c r="C100" s="299"/>
      <c r="D100" s="299"/>
      <c r="E100" s="299"/>
      <c r="F100" s="299"/>
      <c r="G100" s="299"/>
      <c r="H100" s="299"/>
      <c r="I100" s="299"/>
      <c r="J100" s="299"/>
      <c r="K100" s="299"/>
      <c r="L100" s="299"/>
    </row>
    <row r="101" spans="1:12" x14ac:dyDescent="0.25">
      <c r="A101" s="17"/>
      <c r="B101" s="17"/>
      <c r="C101" s="17"/>
      <c r="D101" s="17"/>
      <c r="E101" s="17"/>
      <c r="F101" s="17"/>
      <c r="G101" s="17"/>
      <c r="H101" s="17"/>
      <c r="I101" s="17"/>
      <c r="J101" s="17"/>
      <c r="K101" s="17"/>
      <c r="L101" s="17"/>
    </row>
    <row r="102" spans="1:12" s="17" customFormat="1" x14ac:dyDescent="0.25"/>
    <row r="103" spans="1:12" s="17" customFormat="1" x14ac:dyDescent="0.25"/>
    <row r="104" spans="1:12" s="17" customFormat="1" x14ac:dyDescent="0.25"/>
    <row r="105" spans="1:12" s="17" customFormat="1" x14ac:dyDescent="0.25"/>
    <row r="106" spans="1:12" s="17" customFormat="1" x14ac:dyDescent="0.25"/>
    <row r="107" spans="1:12" s="17" customFormat="1" x14ac:dyDescent="0.25"/>
    <row r="108" spans="1:12" s="17" customFormat="1" x14ac:dyDescent="0.25"/>
    <row r="109" spans="1:12" s="17" customFormat="1" x14ac:dyDescent="0.25"/>
    <row r="110" spans="1:12" s="17" customFormat="1" x14ac:dyDescent="0.25"/>
    <row r="111" spans="1:12" s="17" customFormat="1" x14ac:dyDescent="0.25"/>
    <row r="112" spans="1:12" s="17" customFormat="1" x14ac:dyDescent="0.25"/>
    <row r="113" spans="3:10" s="19" customFormat="1" x14ac:dyDescent="0.25"/>
    <row r="114" spans="3:10" s="19" customFormat="1" x14ac:dyDescent="0.25"/>
    <row r="115" spans="3:10" s="19" customFormat="1" ht="15" customHeight="1" x14ac:dyDescent="0.25"/>
    <row r="116" spans="3:10" s="19" customFormat="1" x14ac:dyDescent="0.25"/>
    <row r="117" spans="3:10" s="19" customFormat="1" x14ac:dyDescent="0.25"/>
    <row r="118" spans="3:10" s="19" customFormat="1" x14ac:dyDescent="0.25">
      <c r="C118" s="1831"/>
      <c r="I118" s="1832"/>
    </row>
    <row r="119" spans="3:10" s="19" customFormat="1" x14ac:dyDescent="0.25">
      <c r="J119" s="1833"/>
    </row>
    <row r="120" spans="3:10" s="17" customFormat="1" x14ac:dyDescent="0.25"/>
    <row r="121" spans="3:10" s="17" customFormat="1" x14ac:dyDescent="0.25"/>
    <row r="122" spans="3:10" s="17" customFormat="1" x14ac:dyDescent="0.25"/>
    <row r="123" spans="3:10" s="17" customFormat="1" x14ac:dyDescent="0.25"/>
    <row r="124" spans="3:10" s="17" customFormat="1" x14ac:dyDescent="0.25"/>
    <row r="125" spans="3:10" s="17" customFormat="1" x14ac:dyDescent="0.25"/>
    <row r="126" spans="3:10" s="17" customFormat="1" x14ac:dyDescent="0.25"/>
    <row r="127" spans="3:10" s="17" customFormat="1" x14ac:dyDescent="0.25"/>
    <row r="128" spans="3:10" s="17" customFormat="1" x14ac:dyDescent="0.25"/>
    <row r="129" s="17" customFormat="1" x14ac:dyDescent="0.25"/>
    <row r="130" s="17" customFormat="1" x14ac:dyDescent="0.25"/>
    <row r="131" s="17" customFormat="1" x14ac:dyDescent="0.25"/>
    <row r="132" s="17" customFormat="1" x14ac:dyDescent="0.25"/>
    <row r="133" s="17" customFormat="1" x14ac:dyDescent="0.25"/>
    <row r="134" s="17" customFormat="1" x14ac:dyDescent="0.25"/>
    <row r="135" s="17" customFormat="1" x14ac:dyDescent="0.25"/>
    <row r="136" s="17" customFormat="1" x14ac:dyDescent="0.25"/>
    <row r="137" s="17" customFormat="1" x14ac:dyDescent="0.25"/>
    <row r="138" s="17" customFormat="1" x14ac:dyDescent="0.25"/>
    <row r="139" s="17" customFormat="1" x14ac:dyDescent="0.25"/>
    <row r="140" s="17" customFormat="1" x14ac:dyDescent="0.25"/>
    <row r="141" s="17" customFormat="1" x14ac:dyDescent="0.25"/>
    <row r="142" s="17" customFormat="1" x14ac:dyDescent="0.25"/>
    <row r="143" s="17" customFormat="1" x14ac:dyDescent="0.25"/>
    <row r="144" s="17" customFormat="1" x14ac:dyDescent="0.25"/>
    <row r="145" s="17" customFormat="1" x14ac:dyDescent="0.25"/>
    <row r="146" s="17" customFormat="1" x14ac:dyDescent="0.25"/>
    <row r="147" s="17" customFormat="1" x14ac:dyDescent="0.25"/>
    <row r="148" s="17" customFormat="1" x14ac:dyDescent="0.25"/>
    <row r="149" s="17" customFormat="1" x14ac:dyDescent="0.25"/>
    <row r="150" s="17" customFormat="1" x14ac:dyDescent="0.25"/>
    <row r="151" s="17" customFormat="1" x14ac:dyDescent="0.25"/>
    <row r="152" s="17" customFormat="1" x14ac:dyDescent="0.25"/>
    <row r="153" s="17" customFormat="1" x14ac:dyDescent="0.25"/>
    <row r="154" s="17" customFormat="1" x14ac:dyDescent="0.25"/>
    <row r="155" s="17" customFormat="1" x14ac:dyDescent="0.25"/>
    <row r="156" s="17" customFormat="1" x14ac:dyDescent="0.25"/>
    <row r="157" s="17" customFormat="1" x14ac:dyDescent="0.25"/>
    <row r="158" s="17" customFormat="1" x14ac:dyDescent="0.25"/>
    <row r="159" s="17" customFormat="1" x14ac:dyDescent="0.25"/>
    <row r="160" s="17" customFormat="1" x14ac:dyDescent="0.25"/>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s="17" customFormat="1" x14ac:dyDescent="0.25"/>
    <row r="172" s="17" customFormat="1" x14ac:dyDescent="0.25"/>
    <row r="173" s="17" customFormat="1" x14ac:dyDescent="0.25"/>
    <row r="174" s="17" customFormat="1" x14ac:dyDescent="0.25"/>
    <row r="175" s="17" customFormat="1" x14ac:dyDescent="0.25"/>
    <row r="17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row r="191" s="17" customFormat="1" x14ac:dyDescent="0.25"/>
    <row r="192" s="17" customFormat="1" x14ac:dyDescent="0.25"/>
  </sheetData>
  <sheetProtection password="E593" sheet="1" objects="1" scenarios="1"/>
  <customSheetViews>
    <customSheetView guid="{B63065A1-7838-417A-8679-08A8A2B79CD8}" scale="75" showPageBreaks="1" showGridLines="0" fitToPage="1" printArea="1">
      <selection activeCell="I3" sqref="I3"/>
      <rowBreaks count="1" manualBreakCount="1">
        <brk id="44" max="11" man="1"/>
      </rowBreaks>
      <pageMargins left="0.25" right="0.25" top="1" bottom="0.5" header="0.5" footer="0.5"/>
      <pageSetup scale="65" orientation="portrait" blackAndWhite="1" r:id="rId1"/>
      <headerFooter alignWithMargins="0"/>
    </customSheetView>
  </customSheetViews>
  <mergeCells count="46">
    <mergeCell ref="C20:E20"/>
    <mergeCell ref="C21:E21"/>
    <mergeCell ref="C22:E22"/>
    <mergeCell ref="C3:J3"/>
    <mergeCell ref="C5:J5"/>
    <mergeCell ref="C6:J6"/>
    <mergeCell ref="C17:E17"/>
    <mergeCell ref="C19:E19"/>
    <mergeCell ref="C7:J7"/>
    <mergeCell ref="C4:J4"/>
    <mergeCell ref="G59:H59"/>
    <mergeCell ref="G60:H60"/>
    <mergeCell ref="G61:H61"/>
    <mergeCell ref="G62:H62"/>
    <mergeCell ref="G63:H63"/>
    <mergeCell ref="E61:F61"/>
    <mergeCell ref="E62:F62"/>
    <mergeCell ref="E63:F63"/>
    <mergeCell ref="G64:H64"/>
    <mergeCell ref="G65:H65"/>
    <mergeCell ref="G66:H66"/>
    <mergeCell ref="G67:H67"/>
    <mergeCell ref="G68:H68"/>
    <mergeCell ref="E65:F65"/>
    <mergeCell ref="E68:F68"/>
    <mergeCell ref="E66:F66"/>
    <mergeCell ref="C50:J50"/>
    <mergeCell ref="B80:K81"/>
    <mergeCell ref="C82:J93"/>
    <mergeCell ref="E69:F69"/>
    <mergeCell ref="E74:F74"/>
    <mergeCell ref="E71:F71"/>
    <mergeCell ref="G76:H76"/>
    <mergeCell ref="G78:H78"/>
    <mergeCell ref="E72:F72"/>
    <mergeCell ref="G74:H74"/>
    <mergeCell ref="G72:H72"/>
    <mergeCell ref="G69:H69"/>
    <mergeCell ref="G70:H70"/>
    <mergeCell ref="G71:H71"/>
    <mergeCell ref="E70:F70"/>
    <mergeCell ref="E58:F58"/>
    <mergeCell ref="E59:F59"/>
    <mergeCell ref="E60:F60"/>
    <mergeCell ref="E67:F67"/>
    <mergeCell ref="E64:F64"/>
  </mergeCells>
  <dataValidations count="3">
    <dataValidation allowBlank="1" showInputMessage="1" showErrorMessage="1" prompt="If not applicable, LEAVE BLANK." sqref="F20"/>
    <dataValidation type="whole" errorStyle="warning" allowBlank="1" showInputMessage="1" showErrorMessage="1" error="Use only 4 or 6 or leave 0." prompt="Typically only 4 or 6.  Do not use inches or symbol &quot;.  If not applicable, LEAVE BLANK." sqref="F19">
      <formula1>4</formula1>
      <formula2>6</formula2>
    </dataValidation>
    <dataValidation allowBlank="1" showInputMessage="1" showErrorMessage="1" prompt="If not applicable, LEAVE BLANK._x000a_" sqref="F18"/>
  </dataValidations>
  <pageMargins left="0.25" right="0.25" top="1" bottom="0.5" header="0.5" footer="0.5"/>
  <pageSetup scale="56" orientation="portrait" blackAndWhite="1" r:id="rId2"/>
  <headerFooter alignWithMargins="0"/>
  <rowBreaks count="2" manualBreakCount="2">
    <brk id="47" max="11" man="1"/>
    <brk id="48" max="11" man="1"/>
  </rowBreaks>
  <drawing r:id="rId3"/>
  <legacyDrawing r:id="rId4"/>
  <controls>
    <mc:AlternateContent xmlns:mc="http://schemas.openxmlformats.org/markup-compatibility/2006">
      <mc:Choice Requires="x14">
        <control shapeId="10243" r:id="rId5" name="CommandButton1">
          <controlPr print="0" autoLine="0" r:id="rId6">
            <anchor moveWithCells="1">
              <from>
                <xdr:col>3</xdr:col>
                <xdr:colOff>533400</xdr:colOff>
                <xdr:row>30</xdr:row>
                <xdr:rowOff>45720</xdr:rowOff>
              </from>
              <to>
                <xdr:col>4</xdr:col>
                <xdr:colOff>708660</xdr:colOff>
                <xdr:row>34</xdr:row>
                <xdr:rowOff>30480</xdr:rowOff>
              </to>
            </anchor>
          </controlPr>
        </control>
      </mc:Choice>
      <mc:Fallback>
        <control shapeId="10243" r:id="rId5" name="CommandButton1"/>
      </mc:Fallback>
    </mc:AlternateContent>
    <mc:AlternateContent xmlns:mc="http://schemas.openxmlformats.org/markup-compatibility/2006">
      <mc:Choice Requires="x14">
        <control shapeId="10241" r:id="rId7" name="Button 1">
          <controlPr defaultSize="0" print="0" autoFill="0" autoPict="0" macro="[0]!BackMain">
            <anchor moveWithCells="1" sizeWithCells="1">
              <from>
                <xdr:col>1</xdr:col>
                <xdr:colOff>38100</xdr:colOff>
                <xdr:row>0</xdr:row>
                <xdr:rowOff>76200</xdr:rowOff>
              </from>
              <to>
                <xdr:col>2</xdr:col>
                <xdr:colOff>190500</xdr:colOff>
                <xdr:row>2</xdr:row>
                <xdr:rowOff>106680</xdr:rowOff>
              </to>
            </anchor>
          </controlPr>
        </control>
      </mc:Choice>
    </mc:AlternateContent>
    <mc:AlternateContent xmlns:mc="http://schemas.openxmlformats.org/markup-compatibility/2006">
      <mc:Choice Requires="x14">
        <control shapeId="10242" r:id="rId8" name="Button 2">
          <controlPr defaultSize="0" print="0" autoFill="0" autoPict="0" macro="[0]!BackMain">
            <anchor moveWithCells="1" sizeWithCells="1">
              <from>
                <xdr:col>9</xdr:col>
                <xdr:colOff>838200</xdr:colOff>
                <xdr:row>95</xdr:row>
                <xdr:rowOff>167640</xdr:rowOff>
              </from>
              <to>
                <xdr:col>11</xdr:col>
                <xdr:colOff>7620</xdr:colOff>
                <xdr:row>98</xdr:row>
                <xdr:rowOff>121920</xdr:rowOff>
              </to>
            </anchor>
          </controlPr>
        </control>
      </mc:Choice>
    </mc:AlternateContent>
    <mc:AlternateContent xmlns:mc="http://schemas.openxmlformats.org/markup-compatibility/2006">
      <mc:Choice Requires="x14">
        <control shapeId="10244" r:id="rId9" name="Button 4">
          <controlPr defaultSize="0" print="0" autoFill="0" autoPict="0" macro="[0]!PrintAttach5">
            <anchor moveWithCells="1" sizeWithCells="1">
              <from>
                <xdr:col>9</xdr:col>
                <xdr:colOff>106680</xdr:colOff>
                <xdr:row>0</xdr:row>
                <xdr:rowOff>76200</xdr:rowOff>
              </from>
              <to>
                <xdr:col>11</xdr:col>
                <xdr:colOff>7620</xdr:colOff>
                <xdr:row>2</xdr:row>
                <xdr:rowOff>76200</xdr:rowOff>
              </to>
            </anchor>
          </controlPr>
        </control>
      </mc:Choice>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L256"/>
  <sheetViews>
    <sheetView showGridLines="0" zoomScaleNormal="100" workbookViewId="0">
      <selection activeCell="G18" sqref="G18"/>
    </sheetView>
  </sheetViews>
  <sheetFormatPr defaultRowHeight="13.2" x14ac:dyDescent="0.25"/>
  <cols>
    <col min="1" max="1" width="8.44140625" style="15" customWidth="1"/>
    <col min="2" max="2" width="32.88671875" style="15" customWidth="1"/>
    <col min="3" max="3" width="6.109375" style="15" customWidth="1"/>
    <col min="4" max="4" width="15.109375" style="15" customWidth="1"/>
    <col min="5" max="5" width="17" style="15" customWidth="1"/>
    <col min="6" max="6" width="13.6640625" style="15" customWidth="1"/>
    <col min="7" max="7" width="14.33203125" style="15" customWidth="1"/>
    <col min="8" max="9" width="15.6640625" style="15" customWidth="1"/>
    <col min="10" max="11" width="8.88671875" style="15"/>
    <col min="12" max="12" width="8.88671875" style="17"/>
    <col min="13" max="16384" width="8.88671875" style="15"/>
  </cols>
  <sheetData>
    <row r="1" spans="1:11" x14ac:dyDescent="0.25">
      <c r="A1" s="176"/>
      <c r="B1" s="434" t="str">
        <f>TestYear &amp; " Test Year"</f>
        <v>2023 Test Year</v>
      </c>
      <c r="C1" s="439"/>
      <c r="D1" s="439"/>
      <c r="E1" s="439"/>
      <c r="F1" s="439"/>
      <c r="G1" s="439"/>
      <c r="H1" s="439"/>
      <c r="I1" s="440"/>
      <c r="J1" s="440" t="s">
        <v>272</v>
      </c>
      <c r="K1" s="299"/>
    </row>
    <row r="2" spans="1:11" x14ac:dyDescent="0.25">
      <c r="A2" s="299"/>
      <c r="B2" s="439"/>
      <c r="C2" s="439"/>
      <c r="D2" s="439"/>
      <c r="E2" s="439"/>
      <c r="F2" s="439"/>
      <c r="G2" s="439"/>
      <c r="H2" s="439"/>
      <c r="I2" s="439"/>
      <c r="J2" s="299"/>
      <c r="K2" s="299"/>
    </row>
    <row r="3" spans="1:11" x14ac:dyDescent="0.25">
      <c r="A3" s="437"/>
      <c r="B3" s="2459" t="str">
        <f>Utility</f>
        <v>Cleveland Water Utility</v>
      </c>
      <c r="C3" s="2459"/>
      <c r="D3" s="2459"/>
      <c r="E3" s="2459"/>
      <c r="F3" s="2459"/>
      <c r="G3" s="2459"/>
      <c r="H3" s="2459"/>
      <c r="I3" s="2459"/>
      <c r="J3" s="2459"/>
      <c r="K3" s="299"/>
    </row>
    <row r="4" spans="1:11" x14ac:dyDescent="0.25">
      <c r="A4" s="299"/>
      <c r="B4" s="439"/>
      <c r="C4" s="439"/>
      <c r="D4" s="439"/>
      <c r="E4" s="439"/>
      <c r="F4" s="439"/>
      <c r="G4" s="439"/>
      <c r="H4" s="439"/>
      <c r="I4" s="441"/>
      <c r="J4" s="299"/>
      <c r="K4" s="299"/>
    </row>
    <row r="5" spans="1:11" x14ac:dyDescent="0.25">
      <c r="A5" s="300"/>
      <c r="B5" s="2460" t="s">
        <v>273</v>
      </c>
      <c r="C5" s="2460"/>
      <c r="D5" s="2460"/>
      <c r="E5" s="2460"/>
      <c r="F5" s="2460"/>
      <c r="G5" s="2460"/>
      <c r="H5" s="2460"/>
      <c r="I5" s="2460"/>
      <c r="J5" s="2460"/>
      <c r="K5" s="299"/>
    </row>
    <row r="6" spans="1:11" ht="13.8" thickBot="1" x14ac:dyDescent="0.3">
      <c r="A6" s="435"/>
      <c r="B6" s="2461" t="str">
        <f>CONCATENATE("Estimated for Test Year ",TestYear)</f>
        <v>Estimated for Test Year 2023</v>
      </c>
      <c r="C6" s="2461"/>
      <c r="D6" s="2461"/>
      <c r="E6" s="2461"/>
      <c r="F6" s="2461"/>
      <c r="G6" s="2461"/>
      <c r="H6" s="2461"/>
      <c r="I6" s="2461"/>
      <c r="J6" s="2461"/>
      <c r="K6" s="299"/>
    </row>
    <row r="7" spans="1:11" ht="13.8" thickTop="1" x14ac:dyDescent="0.25">
      <c r="A7" s="306"/>
      <c r="B7" s="2092" t="s">
        <v>1282</v>
      </c>
      <c r="C7" s="460"/>
      <c r="D7" s="460"/>
      <c r="E7" s="460"/>
      <c r="F7" s="460"/>
      <c r="G7" s="461"/>
      <c r="H7" s="461"/>
      <c r="I7" s="462"/>
      <c r="J7" s="335"/>
      <c r="K7" s="299"/>
    </row>
    <row r="8" spans="1:11" x14ac:dyDescent="0.25">
      <c r="A8" s="306"/>
      <c r="B8" s="2093" t="s">
        <v>1283</v>
      </c>
      <c r="C8" s="2091"/>
      <c r="D8" s="2091"/>
      <c r="E8" s="2091"/>
      <c r="F8" s="2091"/>
      <c r="G8" s="365"/>
      <c r="H8" s="365"/>
      <c r="I8" s="348"/>
      <c r="J8" s="336"/>
      <c r="K8" s="299"/>
    </row>
    <row r="9" spans="1:11" x14ac:dyDescent="0.25">
      <c r="A9" s="306"/>
      <c r="B9" s="2093" t="s">
        <v>1284</v>
      </c>
      <c r="C9" s="2091"/>
      <c r="D9" s="2091"/>
      <c r="E9" s="2091"/>
      <c r="F9" s="2091"/>
      <c r="G9" s="365"/>
      <c r="H9" s="365"/>
      <c r="I9" s="348"/>
      <c r="J9" s="336"/>
      <c r="K9" s="299"/>
    </row>
    <row r="10" spans="1:11" x14ac:dyDescent="0.25">
      <c r="A10" s="306"/>
      <c r="B10" s="2090"/>
      <c r="C10" s="2091"/>
      <c r="D10" s="2091"/>
      <c r="E10" s="2091"/>
      <c r="F10" s="2091"/>
      <c r="G10" s="365"/>
      <c r="H10" s="365"/>
      <c r="I10" s="348"/>
      <c r="J10" s="336"/>
      <c r="K10" s="299"/>
    </row>
    <row r="11" spans="1:11" x14ac:dyDescent="0.25">
      <c r="A11" s="438"/>
      <c r="B11" s="2089" t="s">
        <v>263</v>
      </c>
      <c r="C11" s="379">
        <f>BillingPeriods</f>
        <v>12</v>
      </c>
      <c r="D11" s="442"/>
      <c r="E11" s="323"/>
      <c r="F11" s="323"/>
      <c r="G11" s="323"/>
      <c r="H11" s="323"/>
      <c r="I11" s="348"/>
      <c r="J11" s="336"/>
      <c r="K11" s="299"/>
    </row>
    <row r="12" spans="1:11" ht="13.8" x14ac:dyDescent="0.25">
      <c r="A12" s="304"/>
      <c r="B12" s="463"/>
      <c r="C12" s="443"/>
      <c r="D12" s="745"/>
      <c r="E12" s="737" t="s">
        <v>274</v>
      </c>
      <c r="F12" s="738"/>
      <c r="G12" s="738"/>
      <c r="H12" s="738"/>
      <c r="I12" s="348"/>
      <c r="J12" s="336"/>
      <c r="K12" s="299"/>
    </row>
    <row r="13" spans="1:11" ht="13.8" x14ac:dyDescent="0.25">
      <c r="A13" s="301"/>
      <c r="B13" s="380" t="s">
        <v>275</v>
      </c>
      <c r="C13" s="325"/>
      <c r="D13" s="739" t="s">
        <v>276</v>
      </c>
      <c r="E13" s="737" t="s">
        <v>277</v>
      </c>
      <c r="F13" s="741"/>
      <c r="G13" s="741" t="s">
        <v>264</v>
      </c>
      <c r="H13" s="741" t="s">
        <v>265</v>
      </c>
      <c r="I13" s="348"/>
      <c r="J13" s="336"/>
      <c r="K13" s="299"/>
    </row>
    <row r="14" spans="1:11" ht="13.8" x14ac:dyDescent="0.25">
      <c r="A14" s="299"/>
      <c r="B14" s="337"/>
      <c r="C14" s="325"/>
      <c r="D14" s="742" t="s">
        <v>266</v>
      </c>
      <c r="E14" s="743" t="s">
        <v>278</v>
      </c>
      <c r="F14" s="744" t="s">
        <v>279</v>
      </c>
      <c r="G14" s="744" t="s">
        <v>280</v>
      </c>
      <c r="H14" s="744" t="s">
        <v>268</v>
      </c>
      <c r="I14" s="348"/>
      <c r="J14" s="336"/>
      <c r="K14" s="299"/>
    </row>
    <row r="15" spans="1:11" ht="13.8" x14ac:dyDescent="0.25">
      <c r="A15" s="299"/>
      <c r="B15" s="337"/>
      <c r="C15" s="325"/>
      <c r="D15" s="381" t="s">
        <v>281</v>
      </c>
      <c r="E15" s="444">
        <v>1</v>
      </c>
      <c r="F15" s="445">
        <f>IF(ISERROR($C$11*E15),0,$C$11*E15)</f>
        <v>12</v>
      </c>
      <c r="G15" s="446">
        <v>6</v>
      </c>
      <c r="H15" s="449">
        <f t="shared" ref="H15:H23" si="0">ROUND(F15*G15,0)</f>
        <v>72</v>
      </c>
      <c r="I15" s="348"/>
      <c r="J15" s="336"/>
      <c r="K15" s="299"/>
    </row>
    <row r="16" spans="1:11" ht="13.8" x14ac:dyDescent="0.25">
      <c r="A16" s="299"/>
      <c r="B16" s="337"/>
      <c r="C16" s="325"/>
      <c r="D16" s="381" t="s">
        <v>282</v>
      </c>
      <c r="E16" s="447">
        <v>0</v>
      </c>
      <c r="F16" s="445">
        <f t="shared" ref="F16:F23" si="1">IF(ISERROR($C$11*E16),0,$C$11*E16)</f>
        <v>0</v>
      </c>
      <c r="G16" s="448">
        <v>12</v>
      </c>
      <c r="H16" s="449">
        <f t="shared" si="0"/>
        <v>0</v>
      </c>
      <c r="I16" s="348"/>
      <c r="J16" s="336"/>
      <c r="K16" s="299"/>
    </row>
    <row r="17" spans="1:11" ht="13.8" x14ac:dyDescent="0.25">
      <c r="A17" s="299"/>
      <c r="B17" s="337"/>
      <c r="C17" s="325"/>
      <c r="D17" s="381" t="s">
        <v>283</v>
      </c>
      <c r="E17" s="447">
        <v>2</v>
      </c>
      <c r="F17" s="445">
        <f t="shared" si="1"/>
        <v>24</v>
      </c>
      <c r="G17" s="448">
        <v>20</v>
      </c>
      <c r="H17" s="449">
        <f t="shared" si="0"/>
        <v>480</v>
      </c>
      <c r="I17" s="348"/>
      <c r="J17" s="336"/>
      <c r="K17" s="299"/>
    </row>
    <row r="18" spans="1:11" ht="13.8" x14ac:dyDescent="0.25">
      <c r="A18" s="299"/>
      <c r="B18" s="337"/>
      <c r="C18" s="325"/>
      <c r="D18" s="381" t="s">
        <v>284</v>
      </c>
      <c r="E18" s="447">
        <v>2</v>
      </c>
      <c r="F18" s="445">
        <f t="shared" si="1"/>
        <v>24</v>
      </c>
      <c r="G18" s="448">
        <v>40</v>
      </c>
      <c r="H18" s="449">
        <f t="shared" si="0"/>
        <v>960</v>
      </c>
      <c r="I18" s="348"/>
      <c r="J18" s="336"/>
      <c r="K18" s="299"/>
    </row>
    <row r="19" spans="1:11" ht="13.8" x14ac:dyDescent="0.25">
      <c r="A19" s="299"/>
      <c r="B19" s="337"/>
      <c r="C19" s="325"/>
      <c r="D19" s="381" t="s">
        <v>285</v>
      </c>
      <c r="E19" s="447">
        <v>0</v>
      </c>
      <c r="F19" s="445">
        <f t="shared" si="1"/>
        <v>0</v>
      </c>
      <c r="G19" s="448">
        <v>60</v>
      </c>
      <c r="H19" s="449">
        <f t="shared" si="0"/>
        <v>0</v>
      </c>
      <c r="I19" s="348"/>
      <c r="J19" s="336"/>
      <c r="K19" s="299"/>
    </row>
    <row r="20" spans="1:11" ht="13.8" x14ac:dyDescent="0.25">
      <c r="A20" s="299"/>
      <c r="B20" s="337"/>
      <c r="C20" s="325"/>
      <c r="D20" s="381" t="s">
        <v>188</v>
      </c>
      <c r="E20" s="447">
        <v>0</v>
      </c>
      <c r="F20" s="445">
        <f t="shared" si="1"/>
        <v>0</v>
      </c>
      <c r="G20" s="448">
        <v>90</v>
      </c>
      <c r="H20" s="449">
        <f t="shared" si="0"/>
        <v>0</v>
      </c>
      <c r="I20" s="348"/>
      <c r="J20" s="336"/>
      <c r="K20" s="299"/>
    </row>
    <row r="21" spans="1:11" ht="13.8" x14ac:dyDescent="0.25">
      <c r="A21" s="299"/>
      <c r="B21" s="337"/>
      <c r="C21" s="325"/>
      <c r="D21" s="381" t="s">
        <v>189</v>
      </c>
      <c r="E21" s="447">
        <v>0</v>
      </c>
      <c r="F21" s="445">
        <f t="shared" si="1"/>
        <v>0</v>
      </c>
      <c r="G21" s="448">
        <v>120</v>
      </c>
      <c r="H21" s="449">
        <f t="shared" si="0"/>
        <v>0</v>
      </c>
      <c r="I21" s="348"/>
      <c r="J21" s="336"/>
      <c r="K21" s="299"/>
    </row>
    <row r="22" spans="1:11" ht="13.8" x14ac:dyDescent="0.25">
      <c r="A22" s="299"/>
      <c r="B22" s="337"/>
      <c r="C22" s="325"/>
      <c r="D22" s="381" t="s">
        <v>286</v>
      </c>
      <c r="E22" s="447">
        <v>0</v>
      </c>
      <c r="F22" s="445">
        <f t="shared" si="1"/>
        <v>0</v>
      </c>
      <c r="G22" s="448">
        <v>150</v>
      </c>
      <c r="H22" s="449">
        <f t="shared" si="0"/>
        <v>0</v>
      </c>
      <c r="I22" s="348"/>
      <c r="J22" s="336"/>
      <c r="K22" s="299"/>
    </row>
    <row r="23" spans="1:11" ht="13.8" x14ac:dyDescent="0.25">
      <c r="A23" s="299"/>
      <c r="B23" s="337"/>
      <c r="C23" s="325"/>
      <c r="D23" s="381" t="s">
        <v>287</v>
      </c>
      <c r="E23" s="447">
        <v>0</v>
      </c>
      <c r="F23" s="445">
        <f t="shared" si="1"/>
        <v>0</v>
      </c>
      <c r="G23" s="448">
        <v>180</v>
      </c>
      <c r="H23" s="449">
        <f t="shared" si="0"/>
        <v>0</v>
      </c>
      <c r="I23" s="348"/>
      <c r="J23" s="336"/>
      <c r="K23" s="299"/>
    </row>
    <row r="24" spans="1:11" ht="13.8" x14ac:dyDescent="0.25">
      <c r="A24" s="299"/>
      <c r="B24" s="337"/>
      <c r="C24" s="325"/>
      <c r="D24" s="381"/>
      <c r="E24" s="450">
        <f>SUM(E13:E23)</f>
        <v>5</v>
      </c>
      <c r="F24" s="451">
        <f>SUM(F13:F23)</f>
        <v>60</v>
      </c>
      <c r="G24" s="452"/>
      <c r="H24" s="453"/>
      <c r="I24" s="348"/>
      <c r="J24" s="336"/>
      <c r="K24" s="299"/>
    </row>
    <row r="25" spans="1:11" ht="13.8" x14ac:dyDescent="0.25">
      <c r="A25" s="301"/>
      <c r="B25" s="337" t="s">
        <v>288</v>
      </c>
      <c r="C25" s="325"/>
      <c r="D25" s="353"/>
      <c r="E25" s="353"/>
      <c r="F25" s="464" t="s">
        <v>259</v>
      </c>
      <c r="G25" s="353"/>
      <c r="H25" s="449">
        <f>SUM(H15:H23)</f>
        <v>1512</v>
      </c>
      <c r="I25" s="348"/>
      <c r="J25" s="336"/>
      <c r="K25" s="299"/>
    </row>
    <row r="26" spans="1:11" ht="13.8" x14ac:dyDescent="0.25">
      <c r="A26" s="299"/>
      <c r="B26" s="374"/>
      <c r="C26" s="348"/>
      <c r="D26" s="738"/>
      <c r="E26" s="737" t="s">
        <v>274</v>
      </c>
      <c r="F26" s="738"/>
      <c r="G26" s="738"/>
      <c r="H26" s="738"/>
      <c r="I26" s="367"/>
      <c r="J26" s="336"/>
      <c r="K26" s="299"/>
    </row>
    <row r="27" spans="1:11" ht="13.8" x14ac:dyDescent="0.25">
      <c r="A27" s="301"/>
      <c r="B27" s="380" t="s">
        <v>289</v>
      </c>
      <c r="C27" s="325"/>
      <c r="D27" s="741" t="s">
        <v>290</v>
      </c>
      <c r="E27" s="737" t="s">
        <v>291</v>
      </c>
      <c r="F27" s="740"/>
      <c r="G27" s="741" t="s">
        <v>264</v>
      </c>
      <c r="H27" s="741" t="s">
        <v>292</v>
      </c>
      <c r="I27" s="325"/>
      <c r="J27" s="336"/>
      <c r="K27" s="299"/>
    </row>
    <row r="28" spans="1:11" ht="13.8" x14ac:dyDescent="0.25">
      <c r="A28" s="301"/>
      <c r="B28" s="380" t="s">
        <v>856</v>
      </c>
      <c r="C28" s="325"/>
      <c r="D28" s="744" t="s">
        <v>293</v>
      </c>
      <c r="E28" s="743" t="s">
        <v>278</v>
      </c>
      <c r="F28" s="744" t="s">
        <v>279</v>
      </c>
      <c r="G28" s="746" t="s">
        <v>280</v>
      </c>
      <c r="H28" s="744" t="s">
        <v>174</v>
      </c>
      <c r="I28" s="325"/>
      <c r="J28" s="336"/>
      <c r="K28" s="299"/>
    </row>
    <row r="29" spans="1:11" ht="13.8" x14ac:dyDescent="0.25">
      <c r="A29" s="301"/>
      <c r="B29" s="337"/>
      <c r="C29" s="363"/>
      <c r="D29" s="389" t="s">
        <v>294</v>
      </c>
      <c r="E29" s="444">
        <v>0</v>
      </c>
      <c r="F29" s="445">
        <f>IF(ISERROR($C$11*E29),0,$C$11*E29)</f>
        <v>0</v>
      </c>
      <c r="G29" s="456">
        <f>Attach3B!E18</f>
        <v>11.21</v>
      </c>
      <c r="H29" s="449">
        <f t="shared" ref="H29:H39" si="2">ROUND(F29*G29,0)</f>
        <v>0</v>
      </c>
      <c r="I29" s="325"/>
      <c r="J29" s="336"/>
      <c r="K29" s="299"/>
    </row>
    <row r="30" spans="1:11" ht="13.8" x14ac:dyDescent="0.25">
      <c r="A30" s="301"/>
      <c r="B30" s="337"/>
      <c r="C30" s="363"/>
      <c r="D30" s="389" t="s">
        <v>295</v>
      </c>
      <c r="E30" s="447">
        <v>0</v>
      </c>
      <c r="F30" s="445">
        <f t="shared" ref="F30:F39" si="3">IF(ISERROR($C$11*E30),0,$C$11*E30)</f>
        <v>0</v>
      </c>
      <c r="G30" s="456">
        <f>Attach3B!E19</f>
        <v>11.21</v>
      </c>
      <c r="H30" s="449">
        <f t="shared" si="2"/>
        <v>0</v>
      </c>
      <c r="I30" s="325"/>
      <c r="J30" s="336"/>
      <c r="K30" s="299"/>
    </row>
    <row r="31" spans="1:11" ht="13.8" x14ac:dyDescent="0.25">
      <c r="A31" s="299"/>
      <c r="B31" s="337"/>
      <c r="C31" s="363"/>
      <c r="D31" s="389" t="s">
        <v>296</v>
      </c>
      <c r="E31" s="447">
        <v>0</v>
      </c>
      <c r="F31" s="445">
        <f t="shared" si="3"/>
        <v>0</v>
      </c>
      <c r="G31" s="456">
        <f>Attach3B!E20</f>
        <v>14.2</v>
      </c>
      <c r="H31" s="449">
        <f t="shared" si="2"/>
        <v>0</v>
      </c>
      <c r="I31" s="325"/>
      <c r="J31" s="336"/>
      <c r="K31" s="299"/>
    </row>
    <row r="32" spans="1:11" ht="13.8" x14ac:dyDescent="0.25">
      <c r="A32" s="299"/>
      <c r="B32" s="337"/>
      <c r="C32" s="363"/>
      <c r="D32" s="389" t="s">
        <v>297</v>
      </c>
      <c r="E32" s="447">
        <v>0</v>
      </c>
      <c r="F32" s="445">
        <f t="shared" si="3"/>
        <v>0</v>
      </c>
      <c r="G32" s="456">
        <f>Attach3B!E21</f>
        <v>17.48</v>
      </c>
      <c r="H32" s="449">
        <f t="shared" si="2"/>
        <v>0</v>
      </c>
      <c r="I32" s="325"/>
      <c r="J32" s="336"/>
      <c r="K32" s="299"/>
    </row>
    <row r="33" spans="1:11" ht="13.8" x14ac:dyDescent="0.25">
      <c r="A33" s="299"/>
      <c r="B33" s="337"/>
      <c r="C33" s="363"/>
      <c r="D33" s="389" t="s">
        <v>298</v>
      </c>
      <c r="E33" s="447">
        <v>0</v>
      </c>
      <c r="F33" s="445">
        <f t="shared" si="3"/>
        <v>0</v>
      </c>
      <c r="G33" s="456">
        <f>Attach3B!E22</f>
        <v>20.76</v>
      </c>
      <c r="H33" s="449">
        <f t="shared" si="2"/>
        <v>0</v>
      </c>
      <c r="I33" s="325"/>
      <c r="J33" s="336"/>
      <c r="K33" s="299"/>
    </row>
    <row r="34" spans="1:11" ht="13.8" x14ac:dyDescent="0.25">
      <c r="A34" s="299"/>
      <c r="B34" s="337"/>
      <c r="C34" s="363"/>
      <c r="D34" s="389" t="s">
        <v>299</v>
      </c>
      <c r="E34" s="447">
        <v>0</v>
      </c>
      <c r="F34" s="445">
        <f t="shared" si="3"/>
        <v>0</v>
      </c>
      <c r="G34" s="456">
        <f>Attach3B!E23</f>
        <v>60.1</v>
      </c>
      <c r="H34" s="449">
        <f t="shared" si="2"/>
        <v>0</v>
      </c>
      <c r="I34" s="325"/>
      <c r="J34" s="336"/>
      <c r="K34" s="299"/>
    </row>
    <row r="35" spans="1:11" ht="13.8" x14ac:dyDescent="0.25">
      <c r="A35" s="299"/>
      <c r="B35" s="337"/>
      <c r="C35" s="363"/>
      <c r="D35" s="389" t="s">
        <v>300</v>
      </c>
      <c r="E35" s="447">
        <v>0</v>
      </c>
      <c r="F35" s="445">
        <f t="shared" si="3"/>
        <v>0</v>
      </c>
      <c r="G35" s="456">
        <f>Attach3B!E24</f>
        <v>0</v>
      </c>
      <c r="H35" s="449">
        <f t="shared" si="2"/>
        <v>0</v>
      </c>
      <c r="I35" s="325"/>
      <c r="J35" s="336"/>
      <c r="K35" s="299"/>
    </row>
    <row r="36" spans="1:11" ht="13.8" x14ac:dyDescent="0.25">
      <c r="A36" s="299"/>
      <c r="B36" s="337"/>
      <c r="C36" s="363"/>
      <c r="D36" s="389" t="s">
        <v>301</v>
      </c>
      <c r="E36" s="447">
        <v>0</v>
      </c>
      <c r="F36" s="445">
        <f t="shared" si="3"/>
        <v>0</v>
      </c>
      <c r="G36" s="456">
        <f>Attach3B!E25</f>
        <v>80.87</v>
      </c>
      <c r="H36" s="449">
        <f t="shared" si="2"/>
        <v>0</v>
      </c>
      <c r="I36" s="325"/>
      <c r="J36" s="336"/>
      <c r="K36" s="299"/>
    </row>
    <row r="37" spans="1:11" ht="13.8" x14ac:dyDescent="0.25">
      <c r="A37" s="299"/>
      <c r="B37" s="337"/>
      <c r="C37" s="363"/>
      <c r="D37" s="389" t="s">
        <v>302</v>
      </c>
      <c r="E37" s="447">
        <v>0</v>
      </c>
      <c r="F37" s="445">
        <f t="shared" si="3"/>
        <v>0</v>
      </c>
      <c r="G37" s="456">
        <f>Attach3B!E26</f>
        <v>104.91</v>
      </c>
      <c r="H37" s="449">
        <f t="shared" si="2"/>
        <v>0</v>
      </c>
      <c r="I37" s="325"/>
      <c r="J37" s="336"/>
      <c r="K37" s="299"/>
    </row>
    <row r="38" spans="1:11" ht="13.8" x14ac:dyDescent="0.25">
      <c r="A38" s="299"/>
      <c r="B38" s="337"/>
      <c r="C38" s="363"/>
      <c r="D38" s="381" t="s">
        <v>303</v>
      </c>
      <c r="E38" s="447">
        <v>0</v>
      </c>
      <c r="F38" s="445">
        <f t="shared" si="3"/>
        <v>0</v>
      </c>
      <c r="G38" s="456">
        <f>Attach3B!E27</f>
        <v>154.08000000000001</v>
      </c>
      <c r="H38" s="449">
        <f t="shared" si="2"/>
        <v>0</v>
      </c>
      <c r="I38" s="325"/>
      <c r="J38" s="336"/>
      <c r="K38" s="299"/>
    </row>
    <row r="39" spans="1:11" ht="13.8" x14ac:dyDescent="0.25">
      <c r="A39" s="299"/>
      <c r="B39" s="337"/>
      <c r="C39" s="363"/>
      <c r="D39" s="381" t="s">
        <v>304</v>
      </c>
      <c r="E39" s="454">
        <v>0</v>
      </c>
      <c r="F39" s="455">
        <f t="shared" si="3"/>
        <v>0</v>
      </c>
      <c r="G39" s="456">
        <f>Attach3B!E28</f>
        <v>169.37</v>
      </c>
      <c r="H39" s="449">
        <f t="shared" si="2"/>
        <v>0</v>
      </c>
      <c r="I39" s="325"/>
      <c r="J39" s="336"/>
      <c r="K39" s="299"/>
    </row>
    <row r="40" spans="1:11" ht="13.8" x14ac:dyDescent="0.25">
      <c r="A40" s="299"/>
      <c r="B40" s="337"/>
      <c r="C40" s="325"/>
      <c r="D40" s="353"/>
      <c r="E40" s="450">
        <f>SUM(E29:E39)</f>
        <v>0</v>
      </c>
      <c r="F40" s="451">
        <f>SUM(F29:F39)</f>
        <v>0</v>
      </c>
      <c r="G40" s="457"/>
      <c r="H40" s="457"/>
      <c r="I40" s="364"/>
      <c r="J40" s="336"/>
      <c r="K40" s="299"/>
    </row>
    <row r="41" spans="1:11" ht="13.8" x14ac:dyDescent="0.25">
      <c r="A41" s="301"/>
      <c r="B41" s="346" t="s">
        <v>305</v>
      </c>
      <c r="C41" s="353"/>
      <c r="D41" s="353"/>
      <c r="E41" s="353"/>
      <c r="F41" s="353"/>
      <c r="G41" s="354"/>
      <c r="H41" s="458">
        <f>SUM(H29:H39)</f>
        <v>0</v>
      </c>
      <c r="I41" s="325"/>
      <c r="J41" s="336"/>
      <c r="K41" s="299"/>
    </row>
    <row r="42" spans="1:11" ht="13.8" x14ac:dyDescent="0.25">
      <c r="A42" s="299"/>
      <c r="B42" s="346"/>
      <c r="C42" s="353"/>
      <c r="D42" s="353"/>
      <c r="E42" s="353"/>
      <c r="F42" s="353"/>
      <c r="G42" s="353"/>
      <c r="H42" s="353"/>
      <c r="I42" s="364"/>
      <c r="J42" s="336"/>
      <c r="K42" s="299"/>
    </row>
    <row r="43" spans="1:11" ht="13.8" x14ac:dyDescent="0.25">
      <c r="A43" s="301"/>
      <c r="B43" s="346" t="s">
        <v>306</v>
      </c>
      <c r="C43" s="353"/>
      <c r="D43" s="353"/>
      <c r="E43" s="353"/>
      <c r="F43" s="325"/>
      <c r="G43" s="325"/>
      <c r="H43" s="325"/>
      <c r="I43" s="325"/>
      <c r="J43" s="336"/>
      <c r="K43" s="299"/>
    </row>
    <row r="44" spans="1:11" ht="13.8" x14ac:dyDescent="0.25">
      <c r="A44" s="302"/>
      <c r="B44" s="347" t="s">
        <v>307</v>
      </c>
      <c r="C44" s="353"/>
      <c r="D44" s="353"/>
      <c r="E44" s="353"/>
      <c r="F44" s="325"/>
      <c r="G44" s="325"/>
      <c r="H44" s="325"/>
      <c r="I44" s="325"/>
      <c r="J44" s="336"/>
      <c r="K44" s="299"/>
    </row>
    <row r="45" spans="1:11" ht="15.75" customHeight="1" x14ac:dyDescent="0.25">
      <c r="A45" s="436"/>
      <c r="B45" s="347"/>
      <c r="C45" s="353"/>
      <c r="D45" s="353"/>
      <c r="E45" s="465" t="s">
        <v>308</v>
      </c>
      <c r="F45" s="459"/>
      <c r="G45" s="325"/>
      <c r="H45" s="325"/>
      <c r="I45" s="352">
        <f>ROUND(H41*-F45,0)</f>
        <v>0</v>
      </c>
      <c r="J45" s="336"/>
      <c r="K45" s="299"/>
    </row>
    <row r="46" spans="1:11" ht="13.8" x14ac:dyDescent="0.25">
      <c r="A46" s="301"/>
      <c r="B46" s="346"/>
      <c r="C46" s="353"/>
      <c r="D46" s="353"/>
      <c r="E46" s="353"/>
      <c r="F46" s="325"/>
      <c r="G46" s="325"/>
      <c r="H46" s="325"/>
      <c r="I46" s="325"/>
      <c r="J46" s="336"/>
      <c r="K46" s="299"/>
    </row>
    <row r="47" spans="1:11" ht="14.4" thickBot="1" x14ac:dyDescent="0.3">
      <c r="A47" s="302"/>
      <c r="B47" s="347" t="s">
        <v>309</v>
      </c>
      <c r="C47" s="353"/>
      <c r="D47" s="353"/>
      <c r="E47" s="353"/>
      <c r="F47" s="325"/>
      <c r="G47" s="325"/>
      <c r="H47" s="325"/>
      <c r="I47" s="351">
        <f>ROUND(H25+I45,0)</f>
        <v>1512</v>
      </c>
      <c r="J47" s="336"/>
      <c r="K47" s="299"/>
    </row>
    <row r="48" spans="1:11" ht="13.8" thickTop="1" x14ac:dyDescent="0.25">
      <c r="A48" s="299"/>
      <c r="B48" s="374"/>
      <c r="C48" s="348"/>
      <c r="D48" s="348"/>
      <c r="E48" s="348"/>
      <c r="F48" s="348"/>
      <c r="G48" s="348"/>
      <c r="H48" s="348"/>
      <c r="I48" s="372"/>
      <c r="J48" s="336"/>
      <c r="K48" s="299"/>
    </row>
    <row r="49" spans="1:11" x14ac:dyDescent="0.25">
      <c r="A49" s="299"/>
      <c r="B49" s="1834"/>
      <c r="C49" s="2430" t="s">
        <v>1232</v>
      </c>
      <c r="D49" s="2430"/>
      <c r="E49" s="2430"/>
      <c r="F49" s="2430"/>
      <c r="G49" s="2430"/>
      <c r="H49" s="2430"/>
      <c r="I49" s="2430"/>
      <c r="J49" s="1835"/>
      <c r="K49" s="299"/>
    </row>
    <row r="50" spans="1:11" x14ac:dyDescent="0.25">
      <c r="A50" s="299"/>
      <c r="B50" s="1834"/>
      <c r="C50" s="2458"/>
      <c r="D50" s="2458"/>
      <c r="E50" s="2458"/>
      <c r="F50" s="2458"/>
      <c r="G50" s="2458"/>
      <c r="H50" s="2458"/>
      <c r="I50" s="2458"/>
      <c r="J50" s="1835"/>
      <c r="K50" s="299"/>
    </row>
    <row r="51" spans="1:11" x14ac:dyDescent="0.25">
      <c r="A51" s="299"/>
      <c r="B51" s="374"/>
      <c r="C51" s="2449"/>
      <c r="D51" s="2450"/>
      <c r="E51" s="2450"/>
      <c r="F51" s="2450"/>
      <c r="G51" s="2450"/>
      <c r="H51" s="2450"/>
      <c r="I51" s="2451"/>
      <c r="J51" s="336"/>
      <c r="K51" s="299"/>
    </row>
    <row r="52" spans="1:11" x14ac:dyDescent="0.25">
      <c r="A52" s="299"/>
      <c r="B52" s="374"/>
      <c r="C52" s="2452"/>
      <c r="D52" s="2453"/>
      <c r="E52" s="2453"/>
      <c r="F52" s="2453"/>
      <c r="G52" s="2453"/>
      <c r="H52" s="2453"/>
      <c r="I52" s="2454"/>
      <c r="J52" s="336"/>
      <c r="K52" s="299"/>
    </row>
    <row r="53" spans="1:11" x14ac:dyDescent="0.25">
      <c r="A53" s="299"/>
      <c r="B53" s="374"/>
      <c r="C53" s="2452"/>
      <c r="D53" s="2453"/>
      <c r="E53" s="2453"/>
      <c r="F53" s="2453"/>
      <c r="G53" s="2453"/>
      <c r="H53" s="2453"/>
      <c r="I53" s="2454"/>
      <c r="J53" s="336"/>
      <c r="K53" s="299"/>
    </row>
    <row r="54" spans="1:11" x14ac:dyDescent="0.25">
      <c r="A54" s="299"/>
      <c r="B54" s="374"/>
      <c r="C54" s="2452"/>
      <c r="D54" s="2453"/>
      <c r="E54" s="2453"/>
      <c r="F54" s="2453"/>
      <c r="G54" s="2453"/>
      <c r="H54" s="2453"/>
      <c r="I54" s="2454"/>
      <c r="J54" s="336"/>
      <c r="K54" s="299"/>
    </row>
    <row r="55" spans="1:11" x14ac:dyDescent="0.25">
      <c r="A55" s="299"/>
      <c r="B55" s="374"/>
      <c r="C55" s="2452"/>
      <c r="D55" s="2453"/>
      <c r="E55" s="2453"/>
      <c r="F55" s="2453"/>
      <c r="G55" s="2453"/>
      <c r="H55" s="2453"/>
      <c r="I55" s="2454"/>
      <c r="J55" s="336"/>
      <c r="K55" s="299"/>
    </row>
    <row r="56" spans="1:11" x14ac:dyDescent="0.25">
      <c r="A56" s="299"/>
      <c r="B56" s="374"/>
      <c r="C56" s="2452"/>
      <c r="D56" s="2453"/>
      <c r="E56" s="2453"/>
      <c r="F56" s="2453"/>
      <c r="G56" s="2453"/>
      <c r="H56" s="2453"/>
      <c r="I56" s="2454"/>
      <c r="J56" s="336"/>
      <c r="K56" s="299"/>
    </row>
    <row r="57" spans="1:11" x14ac:dyDescent="0.25">
      <c r="A57" s="299"/>
      <c r="B57" s="374"/>
      <c r="C57" s="2452"/>
      <c r="D57" s="2453"/>
      <c r="E57" s="2453"/>
      <c r="F57" s="2453"/>
      <c r="G57" s="2453"/>
      <c r="H57" s="2453"/>
      <c r="I57" s="2454"/>
      <c r="J57" s="336"/>
      <c r="K57" s="299"/>
    </row>
    <row r="58" spans="1:11" x14ac:dyDescent="0.25">
      <c r="A58" s="299"/>
      <c r="B58" s="374"/>
      <c r="C58" s="2452"/>
      <c r="D58" s="2453"/>
      <c r="E58" s="2453"/>
      <c r="F58" s="2453"/>
      <c r="G58" s="2453"/>
      <c r="H58" s="2453"/>
      <c r="I58" s="2454"/>
      <c r="J58" s="336"/>
      <c r="K58" s="299"/>
    </row>
    <row r="59" spans="1:11" x14ac:dyDescent="0.25">
      <c r="A59" s="299"/>
      <c r="B59" s="374"/>
      <c r="C59" s="2452"/>
      <c r="D59" s="2453"/>
      <c r="E59" s="2453"/>
      <c r="F59" s="2453"/>
      <c r="G59" s="2453"/>
      <c r="H59" s="2453"/>
      <c r="I59" s="2454"/>
      <c r="J59" s="336"/>
      <c r="K59" s="299"/>
    </row>
    <row r="60" spans="1:11" x14ac:dyDescent="0.25">
      <c r="A60" s="299"/>
      <c r="B60" s="374"/>
      <c r="C60" s="2452"/>
      <c r="D60" s="2453"/>
      <c r="E60" s="2453"/>
      <c r="F60" s="2453"/>
      <c r="G60" s="2453"/>
      <c r="H60" s="2453"/>
      <c r="I60" s="2454"/>
      <c r="J60" s="336"/>
      <c r="K60" s="299"/>
    </row>
    <row r="61" spans="1:11" x14ac:dyDescent="0.25">
      <c r="A61" s="299"/>
      <c r="B61" s="374"/>
      <c r="C61" s="2452"/>
      <c r="D61" s="2453"/>
      <c r="E61" s="2453"/>
      <c r="F61" s="2453"/>
      <c r="G61" s="2453"/>
      <c r="H61" s="2453"/>
      <c r="I61" s="2454"/>
      <c r="J61" s="336"/>
      <c r="K61" s="299"/>
    </row>
    <row r="62" spans="1:11" x14ac:dyDescent="0.25">
      <c r="A62" s="299"/>
      <c r="B62" s="374"/>
      <c r="C62" s="2455"/>
      <c r="D62" s="2456"/>
      <c r="E62" s="2456"/>
      <c r="F62" s="2456"/>
      <c r="G62" s="2456"/>
      <c r="H62" s="2456"/>
      <c r="I62" s="2457"/>
      <c r="J62" s="336"/>
      <c r="K62" s="299"/>
    </row>
    <row r="63" spans="1:11" ht="13.8" thickBot="1" x14ac:dyDescent="0.3">
      <c r="A63" s="299"/>
      <c r="B63" s="376"/>
      <c r="C63" s="377"/>
      <c r="D63" s="377"/>
      <c r="E63" s="377"/>
      <c r="F63" s="377"/>
      <c r="G63" s="377"/>
      <c r="H63" s="377"/>
      <c r="I63" s="377"/>
      <c r="J63" s="343"/>
      <c r="K63" s="299"/>
    </row>
    <row r="64" spans="1:11" ht="13.8" thickTop="1" x14ac:dyDescent="0.25">
      <c r="A64" s="299"/>
      <c r="B64" s="299"/>
      <c r="C64" s="299"/>
      <c r="D64" s="299"/>
      <c r="E64" s="299"/>
      <c r="F64" s="299"/>
      <c r="G64" s="299"/>
      <c r="H64" s="299"/>
      <c r="I64" s="299"/>
      <c r="J64" s="299"/>
      <c r="K64" s="299"/>
    </row>
    <row r="65" spans="1:11" x14ac:dyDescent="0.25">
      <c r="A65" s="299"/>
      <c r="B65" s="299"/>
      <c r="C65" s="299"/>
      <c r="D65" s="299"/>
      <c r="E65" s="299"/>
      <c r="F65" s="299"/>
      <c r="G65" s="299"/>
      <c r="H65" s="299"/>
      <c r="I65" s="299"/>
      <c r="J65" s="299"/>
      <c r="K65" s="299"/>
    </row>
    <row r="66" spans="1:11" x14ac:dyDescent="0.25">
      <c r="A66" s="299"/>
      <c r="B66" s="299"/>
      <c r="C66" s="299"/>
      <c r="D66" s="299"/>
      <c r="E66" s="299"/>
      <c r="F66" s="299"/>
      <c r="G66" s="299"/>
      <c r="H66" s="299"/>
      <c r="I66" s="299"/>
      <c r="J66" s="299"/>
      <c r="K66" s="299"/>
    </row>
    <row r="67" spans="1:11" x14ac:dyDescent="0.25">
      <c r="A67" s="299"/>
      <c r="B67" s="299"/>
      <c r="C67" s="299"/>
      <c r="D67" s="299"/>
      <c r="E67" s="299"/>
      <c r="F67" s="299"/>
      <c r="G67" s="299"/>
      <c r="H67" s="299"/>
      <c r="I67" s="299"/>
      <c r="J67" s="299"/>
      <c r="K67" s="299"/>
    </row>
    <row r="68" spans="1:11" x14ac:dyDescent="0.25">
      <c r="A68" s="299"/>
      <c r="B68" s="299"/>
      <c r="C68" s="299"/>
      <c r="D68" s="299"/>
      <c r="E68" s="299"/>
      <c r="F68" s="299"/>
      <c r="G68" s="299"/>
      <c r="H68" s="299"/>
      <c r="I68" s="299"/>
      <c r="J68" s="299"/>
      <c r="K68" s="299"/>
    </row>
    <row r="69" spans="1:11" x14ac:dyDescent="0.25">
      <c r="A69" s="17"/>
      <c r="B69" s="17"/>
      <c r="C69" s="17"/>
      <c r="D69" s="17"/>
      <c r="E69" s="17"/>
      <c r="F69" s="17"/>
      <c r="G69" s="17"/>
      <c r="H69" s="17"/>
      <c r="I69" s="17"/>
      <c r="J69" s="17"/>
      <c r="K69" s="17"/>
    </row>
    <row r="70" spans="1:11" s="1126" customFormat="1" x14ac:dyDescent="0.25"/>
    <row r="71" spans="1:11" s="1126" customFormat="1" x14ac:dyDescent="0.25"/>
    <row r="72" spans="1:11" s="1126" customFormat="1" x14ac:dyDescent="0.25"/>
    <row r="73" spans="1:11" s="1126" customFormat="1" x14ac:dyDescent="0.25"/>
    <row r="74" spans="1:11" s="1126" customFormat="1" x14ac:dyDescent="0.25"/>
    <row r="75" spans="1:11" s="1126" customFormat="1" x14ac:dyDescent="0.25"/>
    <row r="76" spans="1:11" s="1126" customFormat="1" x14ac:dyDescent="0.25"/>
    <row r="77" spans="1:11" s="1126" customFormat="1" x14ac:dyDescent="0.25"/>
    <row r="78" spans="1:11" s="1126" customFormat="1" x14ac:dyDescent="0.25"/>
    <row r="79" spans="1:11" s="1126" customFormat="1" x14ac:dyDescent="0.25"/>
    <row r="80" spans="1:11" s="1126" customFormat="1" x14ac:dyDescent="0.25"/>
    <row r="81" s="1126" customFormat="1" x14ac:dyDescent="0.25"/>
    <row r="82" s="1126" customFormat="1" x14ac:dyDescent="0.25"/>
    <row r="83" s="1126" customFormat="1" x14ac:dyDescent="0.25"/>
    <row r="84" s="1126" customFormat="1" x14ac:dyDescent="0.25"/>
    <row r="85" s="1126" customFormat="1" x14ac:dyDescent="0.25"/>
    <row r="86" s="1126" customFormat="1" x14ac:dyDescent="0.25"/>
    <row r="87" s="1126" customFormat="1" x14ac:dyDescent="0.25"/>
    <row r="88" s="1126" customFormat="1" x14ac:dyDescent="0.25"/>
    <row r="89" s="1126" customFormat="1" x14ac:dyDescent="0.25"/>
    <row r="90" s="1126" customFormat="1" x14ac:dyDescent="0.25"/>
    <row r="91" s="1126" customFormat="1" x14ac:dyDescent="0.25"/>
    <row r="92" s="1126" customFormat="1" x14ac:dyDescent="0.25"/>
    <row r="93" s="1126" customFormat="1" x14ac:dyDescent="0.25"/>
    <row r="94" s="1126" customFormat="1" x14ac:dyDescent="0.25"/>
    <row r="95" s="1126" customFormat="1" x14ac:dyDescent="0.25"/>
    <row r="96" s="1126" customFormat="1" x14ac:dyDescent="0.25"/>
    <row r="97" s="1126" customFormat="1" x14ac:dyDescent="0.25"/>
    <row r="98" s="1126" customFormat="1" x14ac:dyDescent="0.25"/>
    <row r="99" s="1126" customFormat="1" x14ac:dyDescent="0.25"/>
    <row r="100" s="1126" customFormat="1" x14ac:dyDescent="0.25"/>
    <row r="101" s="1126" customFormat="1" x14ac:dyDescent="0.25"/>
    <row r="102" s="1126" customFormat="1" x14ac:dyDescent="0.25"/>
    <row r="103" s="1126" customFormat="1" x14ac:dyDescent="0.25"/>
    <row r="104" s="1126" customFormat="1" x14ac:dyDescent="0.25"/>
    <row r="105" s="1126" customFormat="1" x14ac:dyDescent="0.25"/>
    <row r="106" s="1126" customFormat="1" x14ac:dyDescent="0.25"/>
    <row r="107" s="1126" customFormat="1" x14ac:dyDescent="0.25"/>
    <row r="108" s="1126" customFormat="1" x14ac:dyDescent="0.25"/>
    <row r="109" s="1126" customFormat="1" x14ac:dyDescent="0.25"/>
    <row r="110" s="1126" customFormat="1" x14ac:dyDescent="0.25"/>
    <row r="111" s="1126" customFormat="1" x14ac:dyDescent="0.25"/>
    <row r="112" s="1126" customFormat="1" x14ac:dyDescent="0.25"/>
    <row r="113" s="1126" customFormat="1" x14ac:dyDescent="0.25"/>
    <row r="114" s="1126" customFormat="1" x14ac:dyDescent="0.25"/>
    <row r="115" s="1126" customFormat="1" x14ac:dyDescent="0.25"/>
    <row r="116" s="1126" customFormat="1" x14ac:dyDescent="0.25"/>
    <row r="117" s="1126" customFormat="1" x14ac:dyDescent="0.25"/>
    <row r="118" s="1126" customFormat="1" x14ac:dyDescent="0.25"/>
    <row r="119" s="1126" customFormat="1" x14ac:dyDescent="0.25"/>
    <row r="120" s="1126" customFormat="1" x14ac:dyDescent="0.25"/>
    <row r="121" s="1126" customFormat="1" x14ac:dyDescent="0.25"/>
    <row r="122" s="1126" customFormat="1" x14ac:dyDescent="0.25"/>
    <row r="123" s="1126" customFormat="1" x14ac:dyDescent="0.25"/>
    <row r="124" s="1126" customFormat="1" x14ac:dyDescent="0.25"/>
    <row r="125" s="1126" customFormat="1" x14ac:dyDescent="0.25"/>
    <row r="126" s="1126" customFormat="1" x14ac:dyDescent="0.25"/>
    <row r="127" s="1126" customFormat="1" x14ac:dyDescent="0.25"/>
    <row r="128" s="1126" customFormat="1" x14ac:dyDescent="0.25"/>
    <row r="129" s="1126" customFormat="1" x14ac:dyDescent="0.25"/>
    <row r="130" s="1126" customFormat="1" x14ac:dyDescent="0.25"/>
    <row r="131" s="1126" customFormat="1" x14ac:dyDescent="0.25"/>
    <row r="132" s="1126" customFormat="1" x14ac:dyDescent="0.25"/>
    <row r="133" s="1126" customFormat="1" x14ac:dyDescent="0.25"/>
    <row r="134" s="1126" customFormat="1" x14ac:dyDescent="0.25"/>
    <row r="135" s="1126" customFormat="1" x14ac:dyDescent="0.25"/>
    <row r="136" s="1126" customFormat="1" x14ac:dyDescent="0.25"/>
    <row r="137" s="1126" customFormat="1" x14ac:dyDescent="0.25"/>
    <row r="138" s="1126" customFormat="1" x14ac:dyDescent="0.25"/>
    <row r="139" s="1126" customFormat="1" x14ac:dyDescent="0.25"/>
    <row r="140" s="1126" customFormat="1" x14ac:dyDescent="0.25"/>
    <row r="141" s="1126" customFormat="1" x14ac:dyDescent="0.25"/>
    <row r="142" s="1126" customFormat="1" x14ac:dyDescent="0.25"/>
    <row r="143" s="1126" customFormat="1" x14ac:dyDescent="0.25"/>
    <row r="144" s="1126" customFormat="1" x14ac:dyDescent="0.25"/>
    <row r="145" s="1126" customFormat="1" x14ac:dyDescent="0.25"/>
    <row r="146" s="1126" customFormat="1" x14ac:dyDescent="0.25"/>
    <row r="147" s="1126" customFormat="1" x14ac:dyDescent="0.25"/>
    <row r="148" s="1126" customFormat="1" x14ac:dyDescent="0.25"/>
    <row r="149" s="1126" customFormat="1" x14ac:dyDescent="0.25"/>
    <row r="150" s="1126" customFormat="1" x14ac:dyDescent="0.25"/>
    <row r="151" s="1126" customFormat="1" x14ac:dyDescent="0.25"/>
    <row r="152" s="1126" customFormat="1" x14ac:dyDescent="0.25"/>
    <row r="153" s="1126" customFormat="1" x14ac:dyDescent="0.25"/>
    <row r="154" s="1126" customFormat="1" x14ac:dyDescent="0.25"/>
    <row r="155" s="1126" customFormat="1" x14ac:dyDescent="0.25"/>
    <row r="156" s="1126" customFormat="1" x14ac:dyDescent="0.25"/>
    <row r="157" s="1126" customFormat="1" x14ac:dyDescent="0.25"/>
    <row r="158" s="1126" customFormat="1" x14ac:dyDescent="0.25"/>
    <row r="159" s="1126" customFormat="1" x14ac:dyDescent="0.25"/>
    <row r="160" s="1126" customFormat="1" x14ac:dyDescent="0.25"/>
    <row r="161" s="1126" customFormat="1" x14ac:dyDescent="0.25"/>
    <row r="162" s="1126" customFormat="1" x14ac:dyDescent="0.25"/>
    <row r="163" s="1126" customFormat="1" x14ac:dyDescent="0.25"/>
    <row r="164" s="1126" customFormat="1" x14ac:dyDescent="0.25"/>
    <row r="165" s="1126" customFormat="1" x14ac:dyDescent="0.25"/>
    <row r="166" s="1126" customFormat="1" x14ac:dyDescent="0.25"/>
    <row r="167" s="1126" customFormat="1" x14ac:dyDescent="0.25"/>
    <row r="168" s="1126" customFormat="1" x14ac:dyDescent="0.25"/>
    <row r="169" s="1126" customFormat="1" x14ac:dyDescent="0.25"/>
    <row r="170" s="1126" customFormat="1" x14ac:dyDescent="0.25"/>
    <row r="171" s="1126" customFormat="1" x14ac:dyDescent="0.25"/>
    <row r="172" s="1126" customFormat="1" x14ac:dyDescent="0.25"/>
    <row r="173" s="1126" customFormat="1" x14ac:dyDescent="0.25"/>
    <row r="174" s="1126" customFormat="1" x14ac:dyDescent="0.25"/>
    <row r="175" s="1126" customFormat="1" x14ac:dyDescent="0.25"/>
    <row r="176" s="1126" customFormat="1" x14ac:dyDescent="0.25"/>
    <row r="177" s="1126" customFormat="1" x14ac:dyDescent="0.25"/>
    <row r="178" s="1126" customFormat="1" x14ac:dyDescent="0.25"/>
    <row r="179" s="1126" customFormat="1" x14ac:dyDescent="0.25"/>
    <row r="180" s="1126" customFormat="1" x14ac:dyDescent="0.25"/>
    <row r="181" s="1126" customFormat="1" x14ac:dyDescent="0.25"/>
    <row r="182" s="1126" customFormat="1" x14ac:dyDescent="0.25"/>
    <row r="183" s="1126" customFormat="1" x14ac:dyDescent="0.25"/>
    <row r="184" s="1126" customFormat="1" x14ac:dyDescent="0.25"/>
    <row r="185" s="1126" customFormat="1" x14ac:dyDescent="0.25"/>
    <row r="186" s="1126" customFormat="1" x14ac:dyDescent="0.25"/>
    <row r="187" s="1126" customFormat="1" x14ac:dyDescent="0.25"/>
    <row r="188" s="1126" customFormat="1" x14ac:dyDescent="0.25"/>
    <row r="189" s="1126" customFormat="1" x14ac:dyDescent="0.25"/>
    <row r="190" s="1126" customFormat="1" x14ac:dyDescent="0.25"/>
    <row r="191" s="1126" customFormat="1" x14ac:dyDescent="0.25"/>
    <row r="192" s="1126" customFormat="1" x14ac:dyDescent="0.25"/>
    <row r="193" s="1126" customFormat="1" x14ac:dyDescent="0.25"/>
    <row r="194" s="1126" customFormat="1" x14ac:dyDescent="0.25"/>
    <row r="195" s="1126" customFormat="1" x14ac:dyDescent="0.25"/>
    <row r="196" s="1126" customFormat="1" x14ac:dyDescent="0.25"/>
    <row r="197" s="1126" customFormat="1" x14ac:dyDescent="0.25"/>
    <row r="198" s="1126" customFormat="1" x14ac:dyDescent="0.25"/>
    <row r="199" s="1126" customFormat="1" x14ac:dyDescent="0.25"/>
    <row r="200" s="1126" customFormat="1" x14ac:dyDescent="0.25"/>
    <row r="201" s="1126" customFormat="1" x14ac:dyDescent="0.25"/>
    <row r="202" s="1126" customFormat="1" x14ac:dyDescent="0.25"/>
    <row r="203" s="1126" customFormat="1" x14ac:dyDescent="0.25"/>
    <row r="204" s="1126" customFormat="1" x14ac:dyDescent="0.25"/>
    <row r="205" s="1126" customFormat="1" x14ac:dyDescent="0.25"/>
    <row r="206" s="1126" customFormat="1" x14ac:dyDescent="0.25"/>
    <row r="207" s="1126" customFormat="1" x14ac:dyDescent="0.25"/>
    <row r="208" s="1126" customFormat="1" x14ac:dyDescent="0.25"/>
    <row r="209" s="1126" customFormat="1" x14ac:dyDescent="0.25"/>
    <row r="210" s="1126" customFormat="1" x14ac:dyDescent="0.25"/>
    <row r="211" s="1126" customFormat="1" x14ac:dyDescent="0.25"/>
    <row r="212" s="1126" customFormat="1" x14ac:dyDescent="0.25"/>
    <row r="213" s="1126" customFormat="1" x14ac:dyDescent="0.25"/>
    <row r="214" s="1126" customFormat="1" x14ac:dyDescent="0.25"/>
    <row r="215" s="1126" customFormat="1" x14ac:dyDescent="0.25"/>
    <row r="216" s="1126" customFormat="1" x14ac:dyDescent="0.25"/>
    <row r="217" s="1126" customFormat="1" x14ac:dyDescent="0.25"/>
    <row r="218" s="1126" customFormat="1" x14ac:dyDescent="0.25"/>
    <row r="219" s="1126" customFormat="1" x14ac:dyDescent="0.25"/>
    <row r="220" s="1126" customFormat="1" x14ac:dyDescent="0.25"/>
    <row r="221" s="1126" customFormat="1" x14ac:dyDescent="0.25"/>
    <row r="222" s="1126" customFormat="1" x14ac:dyDescent="0.25"/>
    <row r="223" s="1126" customFormat="1" x14ac:dyDescent="0.25"/>
    <row r="224" s="1126" customFormat="1" x14ac:dyDescent="0.25"/>
    <row r="225" s="1126" customFormat="1" x14ac:dyDescent="0.25"/>
    <row r="226" s="1126" customFormat="1" x14ac:dyDescent="0.25"/>
    <row r="227" s="1126" customFormat="1" x14ac:dyDescent="0.25"/>
    <row r="228" s="1126" customFormat="1" x14ac:dyDescent="0.25"/>
    <row r="229" s="1126" customFormat="1" x14ac:dyDescent="0.25"/>
    <row r="230" s="1126" customFormat="1" x14ac:dyDescent="0.25"/>
    <row r="231" s="1126" customFormat="1" x14ac:dyDescent="0.25"/>
    <row r="232" s="1126" customFormat="1" x14ac:dyDescent="0.25"/>
    <row r="233" s="1126" customFormat="1" x14ac:dyDescent="0.25"/>
    <row r="234" s="1126" customFormat="1" x14ac:dyDescent="0.25"/>
    <row r="235" s="1126" customFormat="1" x14ac:dyDescent="0.25"/>
    <row r="236" s="1126" customFormat="1" x14ac:dyDescent="0.25"/>
    <row r="237" s="1126" customFormat="1" x14ac:dyDescent="0.25"/>
    <row r="238" s="1126" customFormat="1" x14ac:dyDescent="0.25"/>
    <row r="239" s="1126" customFormat="1" x14ac:dyDescent="0.25"/>
    <row r="240" s="1126" customFormat="1" x14ac:dyDescent="0.25"/>
    <row r="241" s="1126" customFormat="1" x14ac:dyDescent="0.25"/>
    <row r="242" s="1126" customFormat="1" x14ac:dyDescent="0.25"/>
    <row r="243" s="1126" customFormat="1" x14ac:dyDescent="0.25"/>
    <row r="244" s="1126" customFormat="1" x14ac:dyDescent="0.25"/>
    <row r="245" s="1126" customFormat="1" x14ac:dyDescent="0.25"/>
    <row r="246" s="1126" customFormat="1" x14ac:dyDescent="0.25"/>
    <row r="247" s="1126" customFormat="1" x14ac:dyDescent="0.25"/>
    <row r="248" s="1126" customFormat="1" x14ac:dyDescent="0.25"/>
    <row r="249" s="1126" customFormat="1" x14ac:dyDescent="0.25"/>
    <row r="250" s="1126" customFormat="1" x14ac:dyDescent="0.25"/>
    <row r="251" s="1126" customFormat="1" x14ac:dyDescent="0.25"/>
    <row r="252" s="1126" customFormat="1" x14ac:dyDescent="0.25"/>
    <row r="253" s="1126" customFormat="1" x14ac:dyDescent="0.25"/>
    <row r="254" s="1126" customFormat="1" x14ac:dyDescent="0.25"/>
    <row r="255" s="1126" customFormat="1" x14ac:dyDescent="0.25"/>
    <row r="256" s="1126" customFormat="1" x14ac:dyDescent="0.25"/>
  </sheetData>
  <sheetProtection password="E593" sheet="1" objects="1" scenarios="1"/>
  <customSheetViews>
    <customSheetView guid="{B63065A1-7838-417A-8679-08A8A2B79CD8}" scale="85" showPageBreaks="1" showGridLines="0" fitToPage="1" printArea="1">
      <selection activeCell="I3" sqref="I3"/>
      <pageMargins left="0.25" right="0.25" top="1" bottom="1" header="0.5" footer="0.5"/>
      <pageSetup scale="67" orientation="landscape" blackAndWhite="1" r:id="rId1"/>
      <headerFooter alignWithMargins="0"/>
    </customSheetView>
  </customSheetViews>
  <mergeCells count="5">
    <mergeCell ref="C51:I62"/>
    <mergeCell ref="C49:I50"/>
    <mergeCell ref="B3:J3"/>
    <mergeCell ref="B5:J5"/>
    <mergeCell ref="B6:J6"/>
  </mergeCells>
  <dataValidations count="1">
    <dataValidation type="decimal" allowBlank="1" showInputMessage="1" showErrorMessage="1" error="Enter only as a decimal or as 0 (zero).  The range is 0 to .30 (30 percent)." prompt="Enter as a decimal or 0 (zero).  For example, enter .30 for 30%." sqref="F45">
      <formula1>0</formula1>
      <formula2>0.3</formula2>
    </dataValidation>
  </dataValidations>
  <pageMargins left="0.25" right="0.25" top="1" bottom="1" header="0.5" footer="0.5"/>
  <pageSetup scale="73" fitToHeight="0"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1265" r:id="rId5" name="Button 1">
              <controlPr defaultSize="0" print="0" autoFill="0" autoPict="0" macro="[0]!BackMain">
                <anchor moveWithCells="1" sizeWithCells="1">
                  <from>
                    <xdr:col>1</xdr:col>
                    <xdr:colOff>7620</xdr:colOff>
                    <xdr:row>3</xdr:row>
                    <xdr:rowOff>7620</xdr:rowOff>
                  </from>
                  <to>
                    <xdr:col>1</xdr:col>
                    <xdr:colOff>861060</xdr:colOff>
                    <xdr:row>5</xdr:row>
                    <xdr:rowOff>76200</xdr:rowOff>
                  </to>
                </anchor>
              </controlPr>
            </control>
          </mc:Choice>
        </mc:AlternateContent>
        <mc:AlternateContent xmlns:mc="http://schemas.openxmlformats.org/markup-compatibility/2006">
          <mc:Choice Requires="x14">
            <control shapeId="11266" r:id="rId6" name="Button 2">
              <controlPr defaultSize="0" print="0" autoFill="0" autoPict="0" macro="[0]!BackMain">
                <anchor moveWithCells="1" sizeWithCells="1">
                  <from>
                    <xdr:col>8</xdr:col>
                    <xdr:colOff>739140</xdr:colOff>
                    <xdr:row>63</xdr:row>
                    <xdr:rowOff>144780</xdr:rowOff>
                  </from>
                  <to>
                    <xdr:col>10</xdr:col>
                    <xdr:colOff>7620</xdr:colOff>
                    <xdr:row>66</xdr:row>
                    <xdr:rowOff>76200</xdr:rowOff>
                  </to>
                </anchor>
              </controlPr>
            </control>
          </mc:Choice>
        </mc:AlternateContent>
        <mc:AlternateContent xmlns:mc="http://schemas.openxmlformats.org/markup-compatibility/2006">
          <mc:Choice Requires="x14">
            <control shapeId="11268" r:id="rId7" name="Button 4">
              <controlPr defaultSize="0" print="0" autoFill="0" autoPict="0" macro="[0]!PrintAttach6">
                <anchor moveWithCells="1" sizeWithCells="1">
                  <from>
                    <xdr:col>8</xdr:col>
                    <xdr:colOff>198120</xdr:colOff>
                    <xdr:row>3</xdr:row>
                    <xdr:rowOff>76200</xdr:rowOff>
                  </from>
                  <to>
                    <xdr:col>10</xdr:col>
                    <xdr:colOff>7620</xdr:colOff>
                    <xdr:row>5</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J281"/>
  <sheetViews>
    <sheetView showGridLines="0" zoomScaleNormal="100" zoomScaleSheetLayoutView="40" workbookViewId="0">
      <selection activeCell="G47" sqref="G47"/>
    </sheetView>
  </sheetViews>
  <sheetFormatPr defaultRowHeight="13.2" x14ac:dyDescent="0.25"/>
  <cols>
    <col min="1" max="1" width="8.88671875" style="28"/>
    <col min="2" max="2" width="10.109375" style="52" customWidth="1"/>
    <col min="3" max="3" width="41.88671875" style="28" customWidth="1"/>
    <col min="4" max="8" width="17.88671875" style="28" customWidth="1"/>
    <col min="9" max="9" width="8.44140625" style="51" customWidth="1"/>
    <col min="10" max="10" width="10.33203125" style="28" customWidth="1"/>
    <col min="11" max="16384" width="8.88671875" style="28"/>
  </cols>
  <sheetData>
    <row r="1" spans="1:10" x14ac:dyDescent="0.25">
      <c r="A1" s="78"/>
      <c r="B1" s="518" t="str">
        <f>TestYear &amp; " Test Year"</f>
        <v>2023 Test Year</v>
      </c>
      <c r="C1" s="469"/>
      <c r="D1" s="469"/>
      <c r="E1" s="469"/>
      <c r="F1" s="469"/>
      <c r="G1" s="469"/>
      <c r="H1" s="470"/>
      <c r="I1" s="470" t="s">
        <v>310</v>
      </c>
      <c r="J1" s="78"/>
    </row>
    <row r="2" spans="1:10" x14ac:dyDescent="0.25">
      <c r="A2" s="78"/>
      <c r="B2" s="471"/>
      <c r="C2" s="469"/>
      <c r="D2" s="469"/>
      <c r="E2" s="469"/>
      <c r="F2" s="472"/>
      <c r="G2" s="469"/>
      <c r="H2" s="469"/>
      <c r="I2" s="467"/>
      <c r="J2" s="78"/>
    </row>
    <row r="3" spans="1:10" x14ac:dyDescent="0.25">
      <c r="A3" s="78"/>
      <c r="B3" s="2462" t="str">
        <f>Utility</f>
        <v>Cleveland Water Utility</v>
      </c>
      <c r="C3" s="2462"/>
      <c r="D3" s="2462"/>
      <c r="E3" s="2462"/>
      <c r="F3" s="2462"/>
      <c r="G3" s="2462"/>
      <c r="H3" s="2462"/>
      <c r="I3" s="2462"/>
      <c r="J3" s="78"/>
    </row>
    <row r="4" spans="1:10" x14ac:dyDescent="0.25">
      <c r="A4" s="78"/>
      <c r="B4" s="471"/>
      <c r="C4" s="469"/>
      <c r="D4" s="473"/>
      <c r="E4" s="473"/>
      <c r="F4" s="473"/>
      <c r="G4" s="469"/>
      <c r="H4" s="469"/>
      <c r="I4" s="467"/>
      <c r="J4" s="78"/>
    </row>
    <row r="5" spans="1:10" x14ac:dyDescent="0.25">
      <c r="A5" s="78"/>
      <c r="B5" s="2463" t="s">
        <v>311</v>
      </c>
      <c r="C5" s="2463"/>
      <c r="D5" s="2463"/>
      <c r="E5" s="2463"/>
      <c r="F5" s="2463"/>
      <c r="G5" s="2463"/>
      <c r="H5" s="2463"/>
      <c r="I5" s="2463"/>
      <c r="J5" s="78"/>
    </row>
    <row r="6" spans="1:10" ht="13.8" thickBot="1" x14ac:dyDescent="0.3">
      <c r="A6" s="78"/>
      <c r="B6" s="2464" t="str">
        <f>CONCATENATE("Estimated for Test Year ",TestYear)</f>
        <v>Estimated for Test Year 2023</v>
      </c>
      <c r="C6" s="2464"/>
      <c r="D6" s="2464"/>
      <c r="E6" s="2464"/>
      <c r="F6" s="2464"/>
      <c r="G6" s="2464"/>
      <c r="H6" s="2464"/>
      <c r="I6" s="2464"/>
      <c r="J6" s="78"/>
    </row>
    <row r="7" spans="1:10" ht="28.5" customHeight="1" thickTop="1" x14ac:dyDescent="0.25">
      <c r="A7" s="78"/>
      <c r="B7" s="494"/>
      <c r="C7" s="2475" t="s">
        <v>1285</v>
      </c>
      <c r="D7" s="2475"/>
      <c r="E7" s="2475"/>
      <c r="F7" s="2475"/>
      <c r="G7" s="2475"/>
      <c r="H7" s="2475"/>
      <c r="I7" s="496"/>
      <c r="J7" s="78"/>
    </row>
    <row r="8" spans="1:10" x14ac:dyDescent="0.25">
      <c r="A8" s="78"/>
      <c r="B8" s="504"/>
      <c r="C8" s="2095" t="s">
        <v>1286</v>
      </c>
      <c r="D8" s="2094"/>
      <c r="E8" s="2094"/>
      <c r="F8" s="2094"/>
      <c r="G8" s="2094"/>
      <c r="H8" s="2094"/>
      <c r="I8" s="500"/>
      <c r="J8" s="78"/>
    </row>
    <row r="9" spans="1:10" x14ac:dyDescent="0.25">
      <c r="A9" s="78"/>
      <c r="B9" s="504"/>
      <c r="C9" s="2095" t="s">
        <v>1341</v>
      </c>
      <c r="D9" s="2094"/>
      <c r="E9" s="2094"/>
      <c r="F9" s="2094"/>
      <c r="G9" s="2094"/>
      <c r="H9" s="2094"/>
      <c r="I9" s="500"/>
      <c r="J9" s="78"/>
    </row>
    <row r="10" spans="1:10" x14ac:dyDescent="0.25">
      <c r="A10" s="78"/>
      <c r="B10" s="504"/>
      <c r="C10" s="2095" t="s">
        <v>1342</v>
      </c>
      <c r="D10" s="2094"/>
      <c r="E10" s="2094"/>
      <c r="F10" s="2094"/>
      <c r="G10" s="2094"/>
      <c r="H10" s="2094"/>
      <c r="I10" s="500"/>
      <c r="J10" s="78"/>
    </row>
    <row r="11" spans="1:10" x14ac:dyDescent="0.25">
      <c r="A11" s="78"/>
      <c r="B11" s="504"/>
      <c r="C11" s="477"/>
      <c r="D11" s="477"/>
      <c r="E11" s="477"/>
      <c r="F11" s="477"/>
      <c r="G11" s="477"/>
      <c r="H11" s="477"/>
      <c r="I11" s="500"/>
      <c r="J11" s="78"/>
    </row>
    <row r="12" spans="1:10" ht="13.8" x14ac:dyDescent="0.25">
      <c r="A12" s="78"/>
      <c r="B12" s="511" t="s">
        <v>312</v>
      </c>
      <c r="C12" s="512"/>
      <c r="D12" s="512"/>
      <c r="E12" s="512"/>
      <c r="F12" s="512"/>
      <c r="G12" s="513" t="str">
        <f>Data!H5</f>
        <v>Estimated</v>
      </c>
      <c r="H12" s="514" t="s">
        <v>313</v>
      </c>
      <c r="I12" s="500"/>
      <c r="J12" s="78"/>
    </row>
    <row r="13" spans="1:10" ht="13.8" x14ac:dyDescent="0.25">
      <c r="A13" s="78"/>
      <c r="B13" s="515" t="s">
        <v>314</v>
      </c>
      <c r="C13" s="516" t="s">
        <v>315</v>
      </c>
      <c r="D13" s="517">
        <f>TestYear-4</f>
        <v>2019</v>
      </c>
      <c r="E13" s="517">
        <f>TestYear-3</f>
        <v>2020</v>
      </c>
      <c r="F13" s="517">
        <f>TestYear-2</f>
        <v>2021</v>
      </c>
      <c r="G13" s="517">
        <f>TestYear-1</f>
        <v>2022</v>
      </c>
      <c r="H13" s="517">
        <f>TestYear</f>
        <v>2023</v>
      </c>
      <c r="I13" s="500"/>
      <c r="J13" s="78"/>
    </row>
    <row r="14" spans="1:10" ht="13.8" x14ac:dyDescent="0.25">
      <c r="A14" s="78"/>
      <c r="B14" s="497"/>
      <c r="C14" s="499"/>
      <c r="D14" s="498"/>
      <c r="E14" s="498"/>
      <c r="F14" s="498"/>
      <c r="G14" s="498"/>
      <c r="H14" s="499"/>
      <c r="I14" s="500"/>
      <c r="J14" s="78"/>
    </row>
    <row r="15" spans="1:10" ht="13.8" x14ac:dyDescent="0.25">
      <c r="A15" s="78"/>
      <c r="B15" s="511">
        <v>460</v>
      </c>
      <c r="C15" s="486" t="s">
        <v>316</v>
      </c>
      <c r="D15" s="502"/>
      <c r="E15" s="502"/>
      <c r="F15" s="502"/>
      <c r="G15" s="502"/>
      <c r="H15" s="486"/>
      <c r="I15" s="500"/>
      <c r="J15" s="78"/>
    </row>
    <row r="16" spans="1:10" ht="13.8" x14ac:dyDescent="0.25">
      <c r="A16" s="78"/>
      <c r="B16" s="511"/>
      <c r="C16" s="486" t="s">
        <v>317</v>
      </c>
      <c r="D16" s="482">
        <f>Data!B2</f>
        <v>0</v>
      </c>
      <c r="E16" s="482">
        <f>Data!C2</f>
        <v>0</v>
      </c>
      <c r="F16" s="482">
        <f>Data!D2</f>
        <v>0</v>
      </c>
      <c r="G16" s="541">
        <f>Data!E2</f>
        <v>0</v>
      </c>
      <c r="H16" s="1355">
        <v>0</v>
      </c>
      <c r="I16" s="500"/>
      <c r="J16" s="78"/>
    </row>
    <row r="17" spans="1:10" ht="13.8" x14ac:dyDescent="0.25">
      <c r="A17" s="78"/>
      <c r="B17" s="511"/>
      <c r="C17" s="486" t="s">
        <v>818</v>
      </c>
      <c r="D17" s="487">
        <f>Data!H10</f>
        <v>0</v>
      </c>
      <c r="E17" s="487">
        <f>Data!I10</f>
        <v>0</v>
      </c>
      <c r="F17" s="487">
        <f>Data!J10</f>
        <v>0</v>
      </c>
      <c r="G17" s="1347">
        <f>Data!K10</f>
        <v>0</v>
      </c>
      <c r="H17" s="1144">
        <v>0</v>
      </c>
      <c r="I17" s="500"/>
      <c r="J17" s="78"/>
    </row>
    <row r="18" spans="1:10" ht="13.8" x14ac:dyDescent="0.25">
      <c r="A18" s="78"/>
      <c r="B18" s="511"/>
      <c r="C18" s="486" t="s">
        <v>318</v>
      </c>
      <c r="D18" s="487">
        <f>Data!B3</f>
        <v>0</v>
      </c>
      <c r="E18" s="487">
        <f>Data!C3</f>
        <v>0</v>
      </c>
      <c r="F18" s="487">
        <f>Data!D3</f>
        <v>0</v>
      </c>
      <c r="G18" s="1347">
        <f>Data!E3</f>
        <v>0</v>
      </c>
      <c r="H18" s="1144">
        <v>0</v>
      </c>
      <c r="I18" s="500"/>
      <c r="J18" s="78"/>
    </row>
    <row r="19" spans="1:10" ht="13.8" x14ac:dyDescent="0.25">
      <c r="A19" s="78"/>
      <c r="B19" s="511"/>
      <c r="C19" s="486" t="s">
        <v>319</v>
      </c>
      <c r="D19" s="487">
        <f>Data!B4</f>
        <v>2108</v>
      </c>
      <c r="E19" s="487">
        <f>Data!C4</f>
        <v>0</v>
      </c>
      <c r="F19" s="487">
        <f>Data!D4</f>
        <v>0</v>
      </c>
      <c r="G19" s="1348">
        <f>Data!E4</f>
        <v>0</v>
      </c>
      <c r="H19" s="1144">
        <v>0</v>
      </c>
      <c r="I19" s="500"/>
      <c r="J19" s="78"/>
    </row>
    <row r="20" spans="1:10" ht="13.8" x14ac:dyDescent="0.25">
      <c r="A20" s="78"/>
      <c r="B20" s="511"/>
      <c r="C20" s="486" t="s">
        <v>320</v>
      </c>
      <c r="D20" s="487">
        <f>Data!B5</f>
        <v>0</v>
      </c>
      <c r="E20" s="487">
        <f>Data!C5</f>
        <v>0</v>
      </c>
      <c r="F20" s="487">
        <f>Data!D5</f>
        <v>0</v>
      </c>
      <c r="G20" s="1348">
        <f>Data!E5</f>
        <v>0</v>
      </c>
      <c r="H20" s="1144">
        <v>0</v>
      </c>
      <c r="I20" s="500"/>
      <c r="J20" s="78"/>
    </row>
    <row r="21" spans="1:10" ht="13.8" x14ac:dyDescent="0.25">
      <c r="A21" s="78"/>
      <c r="B21" s="511"/>
      <c r="C21" s="486" t="s">
        <v>786</v>
      </c>
      <c r="D21" s="488">
        <f>Data!H11</f>
        <v>0</v>
      </c>
      <c r="E21" s="488">
        <f>Data!I11</f>
        <v>0</v>
      </c>
      <c r="F21" s="488">
        <f>Data!J11</f>
        <v>0</v>
      </c>
      <c r="G21" s="1349">
        <f>Data!K11</f>
        <v>0</v>
      </c>
      <c r="H21" s="1144">
        <v>0</v>
      </c>
      <c r="I21" s="500"/>
      <c r="J21" s="78"/>
    </row>
    <row r="22" spans="1:10" ht="13.8" x14ac:dyDescent="0.25">
      <c r="A22" s="78"/>
      <c r="B22" s="511"/>
      <c r="C22" s="486"/>
      <c r="D22" s="487"/>
      <c r="E22" s="487"/>
      <c r="F22" s="487"/>
      <c r="G22" s="487"/>
      <c r="H22" s="491"/>
      <c r="I22" s="500"/>
      <c r="J22" s="78"/>
    </row>
    <row r="23" spans="1:10" ht="13.8" x14ac:dyDescent="0.25">
      <c r="A23" s="78"/>
      <c r="B23" s="511"/>
      <c r="C23" s="486" t="s">
        <v>321</v>
      </c>
      <c r="D23" s="489">
        <f>SUM(D16:D21)</f>
        <v>2108</v>
      </c>
      <c r="E23" s="489">
        <f>SUM(E16:E21)</f>
        <v>0</v>
      </c>
      <c r="F23" s="489">
        <f>SUM(F16:F21)</f>
        <v>0</v>
      </c>
      <c r="G23" s="489">
        <f>SUM(G16:G21)</f>
        <v>0</v>
      </c>
      <c r="H23" s="1356">
        <f>SUM(H16:H21)</f>
        <v>0</v>
      </c>
      <c r="I23" s="500"/>
      <c r="J23" s="78"/>
    </row>
    <row r="24" spans="1:10" ht="13.8" x14ac:dyDescent="0.25">
      <c r="A24" s="78"/>
      <c r="B24" s="511"/>
      <c r="C24" s="486"/>
      <c r="D24" s="490"/>
      <c r="E24" s="490"/>
      <c r="F24" s="490"/>
      <c r="G24" s="490"/>
      <c r="H24" s="1357"/>
      <c r="I24" s="500"/>
      <c r="J24" s="78"/>
    </row>
    <row r="25" spans="1:10" ht="13.8" x14ac:dyDescent="0.25">
      <c r="A25" s="78"/>
      <c r="B25" s="511">
        <v>461</v>
      </c>
      <c r="C25" s="486" t="s">
        <v>322</v>
      </c>
      <c r="D25" s="487"/>
      <c r="E25" s="487"/>
      <c r="F25" s="487"/>
      <c r="G25" s="487"/>
      <c r="H25" s="544"/>
      <c r="I25" s="500"/>
      <c r="J25" s="78"/>
    </row>
    <row r="26" spans="1:10" ht="13.8" x14ac:dyDescent="0.25">
      <c r="A26" s="78"/>
      <c r="B26" s="511"/>
      <c r="C26" s="486" t="s">
        <v>317</v>
      </c>
      <c r="D26" s="482">
        <f>Data!B6</f>
        <v>187281</v>
      </c>
      <c r="E26" s="482">
        <f>Data!C6</f>
        <v>196940</v>
      </c>
      <c r="F26" s="482">
        <f>Data!D6</f>
        <v>201389</v>
      </c>
      <c r="G26" s="1350">
        <v>205402</v>
      </c>
      <c r="H26" s="1358">
        <f>Attach3B!G39</f>
        <v>207141.28000000003</v>
      </c>
      <c r="I26" s="500" t="s">
        <v>323</v>
      </c>
      <c r="J26" s="78"/>
    </row>
    <row r="27" spans="1:10" s="1454" customFormat="1" ht="13.8" x14ac:dyDescent="0.3">
      <c r="A27" s="1449"/>
      <c r="B27" s="1450"/>
      <c r="C27" s="1451" t="s">
        <v>818</v>
      </c>
      <c r="D27" s="1452">
        <f>Data!H12</f>
        <v>4585</v>
      </c>
      <c r="E27" s="1452">
        <f>Data!I12</f>
        <v>5181</v>
      </c>
      <c r="F27" s="1452">
        <f>Data!J12</f>
        <v>5609</v>
      </c>
      <c r="G27" s="1455">
        <v>6358</v>
      </c>
      <c r="H27" s="1452">
        <f>Attach3B!H39</f>
        <v>6526.9699999999993</v>
      </c>
      <c r="I27" s="1453" t="s">
        <v>323</v>
      </c>
      <c r="J27" s="1449"/>
    </row>
    <row r="28" spans="1:10" ht="13.8" x14ac:dyDescent="0.25">
      <c r="A28" s="78"/>
      <c r="B28" s="511"/>
      <c r="C28" s="486" t="s">
        <v>318</v>
      </c>
      <c r="D28" s="487">
        <f>Data!B7</f>
        <v>9410</v>
      </c>
      <c r="E28" s="487">
        <f>Data!C7</f>
        <v>8781</v>
      </c>
      <c r="F28" s="487">
        <f>Data!D7</f>
        <v>10632</v>
      </c>
      <c r="G28" s="1352">
        <f>10918+69</f>
        <v>10987</v>
      </c>
      <c r="H28" s="487">
        <f>Attach3B!I39</f>
        <v>9923.510000000002</v>
      </c>
      <c r="I28" s="500" t="s">
        <v>323</v>
      </c>
      <c r="J28" s="78"/>
    </row>
    <row r="29" spans="1:10" ht="13.8" x14ac:dyDescent="0.25">
      <c r="A29" s="78"/>
      <c r="B29" s="511"/>
      <c r="C29" s="486" t="s">
        <v>319</v>
      </c>
      <c r="D29" s="487">
        <f>Data!B8</f>
        <v>7497</v>
      </c>
      <c r="E29" s="487">
        <f>Data!C8</f>
        <v>6390</v>
      </c>
      <c r="F29" s="487">
        <f>Data!D8</f>
        <v>7986</v>
      </c>
      <c r="G29" s="1352">
        <v>7239</v>
      </c>
      <c r="H29" s="487">
        <f>Attach3B!J39</f>
        <v>8352.66</v>
      </c>
      <c r="I29" s="500" t="s">
        <v>323</v>
      </c>
      <c r="J29" s="78"/>
    </row>
    <row r="30" spans="1:10" ht="13.8" x14ac:dyDescent="0.25">
      <c r="A30" s="78"/>
      <c r="B30" s="511"/>
      <c r="C30" s="486" t="s">
        <v>320</v>
      </c>
      <c r="D30" s="487">
        <f>Data!B9</f>
        <v>14692</v>
      </c>
      <c r="E30" s="487">
        <f>Data!C9</f>
        <v>13255</v>
      </c>
      <c r="F30" s="487">
        <f>Data!D9</f>
        <v>13882</v>
      </c>
      <c r="G30" s="1352">
        <v>14855</v>
      </c>
      <c r="H30" s="487">
        <f>Attach3B!K39</f>
        <v>14566.350000000002</v>
      </c>
      <c r="I30" s="500" t="s">
        <v>323</v>
      </c>
      <c r="J30" s="78"/>
    </row>
    <row r="31" spans="1:10" ht="13.8" x14ac:dyDescent="0.25">
      <c r="A31" s="78"/>
      <c r="B31" s="511"/>
      <c r="C31" s="486" t="s">
        <v>786</v>
      </c>
      <c r="D31" s="488">
        <f>Data!H13</f>
        <v>0</v>
      </c>
      <c r="E31" s="488">
        <f>Data!I13</f>
        <v>0</v>
      </c>
      <c r="F31" s="488">
        <f>Data!J13</f>
        <v>0</v>
      </c>
      <c r="G31" s="1353">
        <f>Data!K13</f>
        <v>0</v>
      </c>
      <c r="H31" s="488">
        <f>Attach3B!L39</f>
        <v>0</v>
      </c>
      <c r="I31" s="500" t="s">
        <v>323</v>
      </c>
      <c r="J31" s="78"/>
    </row>
    <row r="32" spans="1:10" ht="13.8" x14ac:dyDescent="0.25">
      <c r="A32" s="78"/>
      <c r="B32" s="511"/>
      <c r="C32" s="486"/>
      <c r="D32" s="502"/>
      <c r="E32" s="502"/>
      <c r="F32" s="502"/>
      <c r="G32" s="502"/>
      <c r="H32" s="486"/>
      <c r="I32" s="503"/>
      <c r="J32" s="78"/>
    </row>
    <row r="33" spans="1:10" ht="13.8" x14ac:dyDescent="0.25">
      <c r="A33" s="78"/>
      <c r="B33" s="511"/>
      <c r="C33" s="486" t="s">
        <v>324</v>
      </c>
      <c r="D33" s="489">
        <f>SUM(D26:D31)</f>
        <v>223465</v>
      </c>
      <c r="E33" s="489">
        <f>SUM(E26:E31)</f>
        <v>230547</v>
      </c>
      <c r="F33" s="489">
        <f>SUM(F26:F31)</f>
        <v>239498</v>
      </c>
      <c r="G33" s="489">
        <f>SUM(G26:G31)</f>
        <v>244841</v>
      </c>
      <c r="H33" s="1356">
        <f>SUM(H26:H31)</f>
        <v>246510.77000000005</v>
      </c>
      <c r="I33" s="500"/>
      <c r="J33" s="78"/>
    </row>
    <row r="34" spans="1:10" ht="13.8" x14ac:dyDescent="0.25">
      <c r="A34" s="78"/>
      <c r="B34" s="511"/>
      <c r="C34" s="486"/>
      <c r="D34" s="490"/>
      <c r="E34" s="490"/>
      <c r="F34" s="490"/>
      <c r="G34" s="490"/>
      <c r="H34" s="1357"/>
      <c r="I34" s="500"/>
      <c r="J34" s="78"/>
    </row>
    <row r="35" spans="1:10" ht="13.8" x14ac:dyDescent="0.25">
      <c r="A35" s="78"/>
      <c r="B35" s="511"/>
      <c r="C35" s="486"/>
      <c r="D35" s="487"/>
      <c r="E35" s="487"/>
      <c r="F35" s="487"/>
      <c r="G35" s="487"/>
      <c r="H35" s="544"/>
      <c r="I35" s="500"/>
      <c r="J35" s="78"/>
    </row>
    <row r="36" spans="1:10" ht="13.8" x14ac:dyDescent="0.25">
      <c r="A36" s="78"/>
      <c r="B36" s="511">
        <v>462</v>
      </c>
      <c r="C36" s="486" t="s">
        <v>325</v>
      </c>
      <c r="D36" s="482">
        <f>Data!B10</f>
        <v>1512</v>
      </c>
      <c r="E36" s="482">
        <f>Data!C10</f>
        <v>1512</v>
      </c>
      <c r="F36" s="482">
        <f>Data!D10</f>
        <v>1512</v>
      </c>
      <c r="G36" s="1350">
        <v>1512</v>
      </c>
      <c r="H36" s="1358">
        <f>Attach6!I47</f>
        <v>1512</v>
      </c>
      <c r="I36" s="500" t="s">
        <v>326</v>
      </c>
      <c r="J36" s="78"/>
    </row>
    <row r="37" spans="1:10" ht="13.8" x14ac:dyDescent="0.25">
      <c r="A37" s="78"/>
      <c r="B37" s="511">
        <v>463</v>
      </c>
      <c r="C37" s="486" t="s">
        <v>327</v>
      </c>
      <c r="D37" s="487">
        <f>Data!B11</f>
        <v>90875</v>
      </c>
      <c r="E37" s="487">
        <f>Data!C11</f>
        <v>93437</v>
      </c>
      <c r="F37" s="487">
        <f>Data!D11</f>
        <v>96645</v>
      </c>
      <c r="G37" s="1352">
        <f>99452</f>
        <v>99452</v>
      </c>
      <c r="H37" s="487">
        <f>Attach4!H43</f>
        <v>99513</v>
      </c>
      <c r="I37" s="500" t="s">
        <v>328</v>
      </c>
      <c r="J37" s="78"/>
    </row>
    <row r="38" spans="1:10" ht="13.8" x14ac:dyDescent="0.25">
      <c r="A38" s="78"/>
      <c r="B38" s="511">
        <v>465</v>
      </c>
      <c r="C38" s="486" t="s">
        <v>329</v>
      </c>
      <c r="D38" s="487">
        <f>Data!B12</f>
        <v>0</v>
      </c>
      <c r="E38" s="487">
        <f>Data!C12</f>
        <v>0</v>
      </c>
      <c r="F38" s="487">
        <f>Data!D12</f>
        <v>0</v>
      </c>
      <c r="G38" s="1352">
        <f>Data!E12</f>
        <v>0</v>
      </c>
      <c r="H38" s="1144">
        <v>0</v>
      </c>
      <c r="I38" s="500"/>
      <c r="J38" s="78"/>
    </row>
    <row r="39" spans="1:10" ht="13.8" x14ac:dyDescent="0.25">
      <c r="A39" s="78"/>
      <c r="B39" s="511">
        <v>466</v>
      </c>
      <c r="C39" s="486" t="s">
        <v>330</v>
      </c>
      <c r="D39" s="487">
        <f>Data!B13</f>
        <v>0</v>
      </c>
      <c r="E39" s="487">
        <f>Data!C13</f>
        <v>0</v>
      </c>
      <c r="F39" s="487">
        <f>Data!D13</f>
        <v>0</v>
      </c>
      <c r="G39" s="1352">
        <f>Data!E13</f>
        <v>0</v>
      </c>
      <c r="H39" s="487">
        <f>Attach3W!K33</f>
        <v>0</v>
      </c>
      <c r="I39" s="500"/>
      <c r="J39" s="78"/>
    </row>
    <row r="40" spans="1:10" ht="13.8" x14ac:dyDescent="0.25">
      <c r="A40" s="78"/>
      <c r="B40" s="511">
        <v>467</v>
      </c>
      <c r="C40" s="486" t="s">
        <v>331</v>
      </c>
      <c r="D40" s="488">
        <f>Data!B14</f>
        <v>0</v>
      </c>
      <c r="E40" s="488">
        <f>Data!C14</f>
        <v>0</v>
      </c>
      <c r="F40" s="488">
        <f>Data!D14</f>
        <v>0</v>
      </c>
      <c r="G40" s="1353">
        <f>Data!E14</f>
        <v>0</v>
      </c>
      <c r="H40" s="1144">
        <v>0</v>
      </c>
      <c r="I40" s="500"/>
      <c r="J40" s="78"/>
    </row>
    <row r="41" spans="1:10" ht="13.8" x14ac:dyDescent="0.25">
      <c r="A41" s="78"/>
      <c r="B41" s="511"/>
      <c r="C41" s="486"/>
      <c r="D41" s="490"/>
      <c r="E41" s="490"/>
      <c r="F41" s="490"/>
      <c r="G41" s="490"/>
      <c r="H41" s="492"/>
      <c r="I41" s="500"/>
      <c r="J41" s="78"/>
    </row>
    <row r="42" spans="1:10" ht="13.8" x14ac:dyDescent="0.25">
      <c r="A42" s="78"/>
      <c r="B42" s="511"/>
      <c r="C42" s="486" t="s">
        <v>332</v>
      </c>
      <c r="D42" s="489">
        <f>D23+D33+SUM(D36:D40)</f>
        <v>317960</v>
      </c>
      <c r="E42" s="489">
        <f>E23+E33+SUM(E36:E40)</f>
        <v>325496</v>
      </c>
      <c r="F42" s="489">
        <f>F23+F33+SUM(F36:F40)</f>
        <v>337655</v>
      </c>
      <c r="G42" s="489">
        <f>G23+G33+SUM(G36:G40)</f>
        <v>345805</v>
      </c>
      <c r="H42" s="1356">
        <f>H23+H33+SUM(H36:H40)</f>
        <v>347535.77</v>
      </c>
      <c r="I42" s="500"/>
      <c r="J42" s="78"/>
    </row>
    <row r="43" spans="1:10" ht="13.8" x14ac:dyDescent="0.25">
      <c r="A43" s="78"/>
      <c r="B43" s="511"/>
      <c r="C43" s="486"/>
      <c r="D43" s="490"/>
      <c r="E43" s="490"/>
      <c r="F43" s="490"/>
      <c r="G43" s="490"/>
      <c r="H43" s="1357"/>
      <c r="I43" s="500"/>
      <c r="J43" s="78"/>
    </row>
    <row r="44" spans="1:10" ht="13.8" x14ac:dyDescent="0.25">
      <c r="A44" s="78"/>
      <c r="B44" s="511"/>
      <c r="C44" s="486"/>
      <c r="D44" s="487"/>
      <c r="E44" s="487"/>
      <c r="F44" s="487"/>
      <c r="G44" s="487"/>
      <c r="H44" s="544"/>
      <c r="I44" s="500"/>
      <c r="J44" s="78"/>
    </row>
    <row r="45" spans="1:10" ht="13.8" x14ac:dyDescent="0.25">
      <c r="A45" s="78"/>
      <c r="B45" s="511"/>
      <c r="C45" s="486" t="s">
        <v>333</v>
      </c>
      <c r="D45" s="487"/>
      <c r="E45" s="487"/>
      <c r="F45" s="487"/>
      <c r="G45" s="487"/>
      <c r="H45" s="544"/>
      <c r="I45" s="500"/>
      <c r="J45" s="78"/>
    </row>
    <row r="46" spans="1:10" ht="13.8" x14ac:dyDescent="0.25">
      <c r="A46" s="78"/>
      <c r="B46" s="511">
        <v>470</v>
      </c>
      <c r="C46" s="486" t="s">
        <v>334</v>
      </c>
      <c r="D46" s="482">
        <f>Data!B15</f>
        <v>773</v>
      </c>
      <c r="E46" s="482">
        <f>Data!C15</f>
        <v>883</v>
      </c>
      <c r="F46" s="482">
        <f>Data!D15</f>
        <v>1717</v>
      </c>
      <c r="G46" s="1350">
        <v>1982</v>
      </c>
      <c r="H46" s="1355">
        <v>2000</v>
      </c>
      <c r="I46" s="500"/>
      <c r="J46" s="78"/>
    </row>
    <row r="47" spans="1:10" ht="13.8" x14ac:dyDescent="0.25">
      <c r="A47" s="78"/>
      <c r="B47" s="511">
        <v>472</v>
      </c>
      <c r="C47" s="486" t="s">
        <v>335</v>
      </c>
      <c r="D47" s="487">
        <f>Data!B16</f>
        <v>2069</v>
      </c>
      <c r="E47" s="487">
        <f>Data!C16</f>
        <v>2231</v>
      </c>
      <c r="F47" s="487">
        <f>Data!D16</f>
        <v>2788</v>
      </c>
      <c r="G47" s="1352">
        <f>2495-832</f>
        <v>1663</v>
      </c>
      <c r="H47" s="1144">
        <v>0</v>
      </c>
      <c r="I47" s="500"/>
      <c r="J47" s="78"/>
    </row>
    <row r="48" spans="1:10" ht="13.8" x14ac:dyDescent="0.25">
      <c r="A48" s="78"/>
      <c r="B48" s="511">
        <v>473</v>
      </c>
      <c r="C48" s="486" t="s">
        <v>336</v>
      </c>
      <c r="D48" s="487">
        <f>Data!B17</f>
        <v>0</v>
      </c>
      <c r="E48" s="487">
        <f>Data!C17</f>
        <v>0</v>
      </c>
      <c r="F48" s="487">
        <f>Data!D17</f>
        <v>0</v>
      </c>
      <c r="G48" s="1352">
        <f>Data!E17</f>
        <v>0</v>
      </c>
      <c r="H48" s="1144">
        <v>0</v>
      </c>
      <c r="I48" s="500"/>
      <c r="J48" s="78"/>
    </row>
    <row r="49" spans="1:10" ht="13.8" x14ac:dyDescent="0.25">
      <c r="A49" s="78"/>
      <c r="B49" s="511">
        <v>474</v>
      </c>
      <c r="C49" s="486" t="s">
        <v>337</v>
      </c>
      <c r="D49" s="488">
        <f>Data!B18</f>
        <v>3873</v>
      </c>
      <c r="E49" s="488">
        <f>Data!C18</f>
        <v>2691</v>
      </c>
      <c r="F49" s="488">
        <f>Data!D18</f>
        <v>1934</v>
      </c>
      <c r="G49" s="1353">
        <v>2050</v>
      </c>
      <c r="H49" s="1144">
        <v>3000</v>
      </c>
      <c r="I49" s="500"/>
      <c r="J49" s="78"/>
    </row>
    <row r="50" spans="1:10" ht="13.8" x14ac:dyDescent="0.25">
      <c r="A50" s="78"/>
      <c r="B50" s="511"/>
      <c r="C50" s="486"/>
      <c r="D50" s="492"/>
      <c r="E50" s="492"/>
      <c r="F50" s="492"/>
      <c r="G50" s="492"/>
      <c r="H50" s="492"/>
      <c r="I50" s="500"/>
      <c r="J50" s="78"/>
    </row>
    <row r="51" spans="1:10" ht="13.8" x14ac:dyDescent="0.25">
      <c r="A51" s="78"/>
      <c r="B51" s="511"/>
      <c r="C51" s="486" t="s">
        <v>338</v>
      </c>
      <c r="D51" s="489">
        <f>SUM(D46:D50)</f>
        <v>6715</v>
      </c>
      <c r="E51" s="489">
        <f>SUM(E46:E50)</f>
        <v>5805</v>
      </c>
      <c r="F51" s="489">
        <f>SUM(F46:F50)</f>
        <v>6439</v>
      </c>
      <c r="G51" s="489">
        <f>SUM(G46:G50)</f>
        <v>5695</v>
      </c>
      <c r="H51" s="1356">
        <f>SUM(H46:H50)</f>
        <v>5000</v>
      </c>
      <c r="I51" s="500"/>
      <c r="J51" s="78"/>
    </row>
    <row r="52" spans="1:10" ht="13.8" x14ac:dyDescent="0.25">
      <c r="A52" s="78"/>
      <c r="B52" s="511"/>
      <c r="C52" s="486"/>
      <c r="D52" s="492"/>
      <c r="E52" s="492"/>
      <c r="F52" s="492"/>
      <c r="G52" s="492"/>
      <c r="H52" s="1357"/>
      <c r="I52" s="500"/>
      <c r="J52" s="78"/>
    </row>
    <row r="53" spans="1:10" ht="13.8" x14ac:dyDescent="0.25">
      <c r="A53" s="78"/>
      <c r="B53" s="497"/>
      <c r="C53" s="486"/>
      <c r="D53" s="491"/>
      <c r="E53" s="491"/>
      <c r="F53" s="491"/>
      <c r="G53" s="491"/>
      <c r="H53" s="544"/>
      <c r="I53" s="500"/>
      <c r="J53" s="78"/>
    </row>
    <row r="54" spans="1:10" ht="14.4" thickBot="1" x14ac:dyDescent="0.3">
      <c r="A54" s="78"/>
      <c r="B54" s="497"/>
      <c r="C54" s="486" t="s">
        <v>339</v>
      </c>
      <c r="D54" s="493">
        <f>D42+D51</f>
        <v>324675</v>
      </c>
      <c r="E54" s="493">
        <f>E42+E51</f>
        <v>331301</v>
      </c>
      <c r="F54" s="493">
        <f>F42+F51</f>
        <v>344094</v>
      </c>
      <c r="G54" s="493">
        <f>G42+G51</f>
        <v>351500</v>
      </c>
      <c r="H54" s="1359">
        <f>H42+H51</f>
        <v>352535.77</v>
      </c>
      <c r="I54" s="500"/>
      <c r="J54" s="78"/>
    </row>
    <row r="55" spans="1:10" ht="13.8" thickTop="1" x14ac:dyDescent="0.25">
      <c r="A55" s="78"/>
      <c r="B55" s="504"/>
      <c r="C55" s="477"/>
      <c r="D55" s="505"/>
      <c r="E55" s="505"/>
      <c r="F55" s="505"/>
      <c r="G55" s="505"/>
      <c r="H55" s="505"/>
      <c r="I55" s="500"/>
      <c r="J55" s="78"/>
    </row>
    <row r="56" spans="1:10" x14ac:dyDescent="0.25">
      <c r="A56" s="78"/>
      <c r="B56" s="504"/>
      <c r="C56" s="477"/>
      <c r="D56" s="477"/>
      <c r="E56" s="477"/>
      <c r="F56" s="477"/>
      <c r="G56" s="477"/>
      <c r="H56" s="477"/>
      <c r="I56" s="500"/>
      <c r="J56" s="78"/>
    </row>
    <row r="57" spans="1:10" x14ac:dyDescent="0.25">
      <c r="A57" s="78"/>
      <c r="B57" s="504"/>
      <c r="C57" s="477"/>
      <c r="D57" s="477"/>
      <c r="E57" s="477"/>
      <c r="F57" s="477"/>
      <c r="G57" s="477"/>
      <c r="H57" s="477"/>
      <c r="I57" s="500"/>
      <c r="J57" s="78"/>
    </row>
    <row r="58" spans="1:10" x14ac:dyDescent="0.25">
      <c r="A58" s="78"/>
      <c r="B58" s="506" t="s">
        <v>340</v>
      </c>
      <c r="C58" s="519" t="str">
        <f>CONCATENATE("(A)  ",TestYear," test year General Service Revenue estimates must come from ATTACHMENT 3.")</f>
        <v>(A)  2023 test year General Service Revenue estimates must come from ATTACHMENT 3.</v>
      </c>
      <c r="D58" s="477"/>
      <c r="E58" s="477"/>
      <c r="F58" s="477"/>
      <c r="G58" s="477"/>
      <c r="H58" s="507"/>
      <c r="I58" s="500"/>
      <c r="J58" s="78"/>
    </row>
    <row r="59" spans="1:10" x14ac:dyDescent="0.25">
      <c r="A59" s="78"/>
      <c r="B59" s="504"/>
      <c r="C59" s="519" t="str">
        <f>CONCATENATE("(B)  ",TestYear," test year Private Fire Protection Revenue estimates must come from ATTACHMENT 6.")</f>
        <v>(B)  2023 test year Private Fire Protection Revenue estimates must come from ATTACHMENT 6.</v>
      </c>
      <c r="D59" s="477"/>
      <c r="E59" s="477"/>
      <c r="F59" s="477"/>
      <c r="G59" s="477"/>
      <c r="H59" s="477"/>
      <c r="I59" s="500"/>
      <c r="J59" s="78"/>
    </row>
    <row r="60" spans="1:10" x14ac:dyDescent="0.25">
      <c r="A60" s="78"/>
      <c r="B60" s="504"/>
      <c r="C60" s="519" t="str">
        <f>CONCATENATE("(C)  ",TestYear," test year Public Fire Protection Revenue estimates must come from ATTACHMENT 4.")</f>
        <v>(C)  2023 test year Public Fire Protection Revenue estimates must come from ATTACHMENT 4.</v>
      </c>
      <c r="D60" s="477"/>
      <c r="E60" s="477"/>
      <c r="F60" s="477"/>
      <c r="G60" s="477"/>
      <c r="H60" s="477"/>
      <c r="I60" s="500"/>
      <c r="J60" s="78"/>
    </row>
    <row r="61" spans="1:10" x14ac:dyDescent="0.25">
      <c r="A61" s="78"/>
      <c r="B61" s="504"/>
      <c r="C61" s="519"/>
      <c r="D61" s="477"/>
      <c r="E61" s="477"/>
      <c r="F61" s="477"/>
      <c r="G61" s="477"/>
      <c r="H61" s="477"/>
      <c r="I61" s="500"/>
      <c r="J61" s="78"/>
    </row>
    <row r="62" spans="1:10" x14ac:dyDescent="0.25">
      <c r="A62" s="78"/>
      <c r="B62" s="2465" t="s">
        <v>1233</v>
      </c>
      <c r="C62" s="2360"/>
      <c r="D62" s="2360"/>
      <c r="E62" s="2360"/>
      <c r="F62" s="2360"/>
      <c r="G62" s="2360"/>
      <c r="H62" s="2360"/>
      <c r="I62" s="2466"/>
      <c r="J62" s="78"/>
    </row>
    <row r="63" spans="1:10" x14ac:dyDescent="0.25">
      <c r="A63" s="78"/>
      <c r="B63" s="2465"/>
      <c r="C63" s="2360"/>
      <c r="D63" s="2360"/>
      <c r="E63" s="2360"/>
      <c r="F63" s="2360"/>
      <c r="G63" s="2360"/>
      <c r="H63" s="2360"/>
      <c r="I63" s="2466"/>
      <c r="J63" s="78"/>
    </row>
    <row r="64" spans="1:10" x14ac:dyDescent="0.25">
      <c r="A64" s="78"/>
      <c r="B64" s="504"/>
      <c r="C64" s="2362" t="s">
        <v>1529</v>
      </c>
      <c r="D64" s="2467"/>
      <c r="E64" s="2467"/>
      <c r="F64" s="2467"/>
      <c r="G64" s="2467"/>
      <c r="H64" s="2468"/>
      <c r="I64" s="500"/>
      <c r="J64" s="78"/>
    </row>
    <row r="65" spans="1:10" x14ac:dyDescent="0.25">
      <c r="A65" s="78"/>
      <c r="B65" s="504"/>
      <c r="C65" s="2469"/>
      <c r="D65" s="2470"/>
      <c r="E65" s="2470"/>
      <c r="F65" s="2470"/>
      <c r="G65" s="2470"/>
      <c r="H65" s="2471"/>
      <c r="I65" s="500"/>
      <c r="J65" s="78"/>
    </row>
    <row r="66" spans="1:10" x14ac:dyDescent="0.25">
      <c r="A66" s="78"/>
      <c r="B66" s="504"/>
      <c r="C66" s="2469"/>
      <c r="D66" s="2470"/>
      <c r="E66" s="2470"/>
      <c r="F66" s="2470"/>
      <c r="G66" s="2470"/>
      <c r="H66" s="2471"/>
      <c r="I66" s="500"/>
      <c r="J66" s="78"/>
    </row>
    <row r="67" spans="1:10" x14ac:dyDescent="0.25">
      <c r="A67" s="78"/>
      <c r="B67" s="504"/>
      <c r="C67" s="2469"/>
      <c r="D67" s="2470"/>
      <c r="E67" s="2470"/>
      <c r="F67" s="2470"/>
      <c r="G67" s="2470"/>
      <c r="H67" s="2471"/>
      <c r="I67" s="500"/>
      <c r="J67" s="78"/>
    </row>
    <row r="68" spans="1:10" x14ac:dyDescent="0.25">
      <c r="A68" s="78"/>
      <c r="B68" s="504"/>
      <c r="C68" s="2469"/>
      <c r="D68" s="2470"/>
      <c r="E68" s="2470"/>
      <c r="F68" s="2470"/>
      <c r="G68" s="2470"/>
      <c r="H68" s="2471"/>
      <c r="I68" s="500"/>
      <c r="J68" s="78"/>
    </row>
    <row r="69" spans="1:10" x14ac:dyDescent="0.25">
      <c r="A69" s="78"/>
      <c r="B69" s="504"/>
      <c r="C69" s="2469"/>
      <c r="D69" s="2470"/>
      <c r="E69" s="2470"/>
      <c r="F69" s="2470"/>
      <c r="G69" s="2470"/>
      <c r="H69" s="2471"/>
      <c r="I69" s="500"/>
      <c r="J69" s="78"/>
    </row>
    <row r="70" spans="1:10" x14ac:dyDescent="0.25">
      <c r="A70" s="78"/>
      <c r="B70" s="504"/>
      <c r="C70" s="2469"/>
      <c r="D70" s="2470"/>
      <c r="E70" s="2470"/>
      <c r="F70" s="2470"/>
      <c r="G70" s="2470"/>
      <c r="H70" s="2471"/>
      <c r="I70" s="500"/>
      <c r="J70" s="78"/>
    </row>
    <row r="71" spans="1:10" x14ac:dyDescent="0.25">
      <c r="A71" s="78"/>
      <c r="B71" s="504"/>
      <c r="C71" s="2469"/>
      <c r="D71" s="2470"/>
      <c r="E71" s="2470"/>
      <c r="F71" s="2470"/>
      <c r="G71" s="2470"/>
      <c r="H71" s="2471"/>
      <c r="I71" s="500"/>
      <c r="J71" s="78"/>
    </row>
    <row r="72" spans="1:10" x14ac:dyDescent="0.25">
      <c r="A72" s="78"/>
      <c r="B72" s="504"/>
      <c r="C72" s="2472"/>
      <c r="D72" s="2473"/>
      <c r="E72" s="2473"/>
      <c r="F72" s="2473"/>
      <c r="G72" s="2473"/>
      <c r="H72" s="2474"/>
      <c r="I72" s="500"/>
      <c r="J72" s="78"/>
    </row>
    <row r="73" spans="1:10" x14ac:dyDescent="0.25">
      <c r="A73" s="78"/>
      <c r="B73" s="504"/>
      <c r="C73" s="477"/>
      <c r="D73" s="477"/>
      <c r="E73" s="477"/>
      <c r="F73" s="477"/>
      <c r="G73" s="477"/>
      <c r="H73" s="477"/>
      <c r="I73" s="500"/>
      <c r="J73" s="78"/>
    </row>
    <row r="74" spans="1:10" ht="13.8" thickBot="1" x14ac:dyDescent="0.3">
      <c r="A74" s="78"/>
      <c r="B74" s="508"/>
      <c r="C74" s="509"/>
      <c r="D74" s="509"/>
      <c r="E74" s="509"/>
      <c r="F74" s="509"/>
      <c r="G74" s="509"/>
      <c r="H74" s="509"/>
      <c r="I74" s="510"/>
      <c r="J74" s="78"/>
    </row>
    <row r="75" spans="1:10" ht="13.8" thickTop="1" x14ac:dyDescent="0.25">
      <c r="A75" s="78"/>
      <c r="B75" s="468"/>
      <c r="C75" s="78"/>
      <c r="D75" s="78"/>
      <c r="E75" s="78"/>
      <c r="F75" s="78"/>
      <c r="G75" s="78"/>
      <c r="H75" s="78"/>
      <c r="I75" s="467"/>
      <c r="J75" s="78"/>
    </row>
    <row r="76" spans="1:10" x14ac:dyDescent="0.25">
      <c r="A76" s="78"/>
      <c r="B76" s="468"/>
      <c r="C76" s="78"/>
      <c r="D76" s="78"/>
      <c r="E76" s="78"/>
      <c r="F76" s="78"/>
      <c r="G76" s="78"/>
      <c r="H76" s="78"/>
      <c r="I76" s="467"/>
      <c r="J76" s="78"/>
    </row>
    <row r="77" spans="1:10" x14ac:dyDescent="0.25">
      <c r="A77" s="78"/>
      <c r="B77" s="468"/>
      <c r="C77" s="78"/>
      <c r="D77" s="78"/>
      <c r="E77" s="78"/>
      <c r="F77" s="78"/>
      <c r="G77" s="78"/>
      <c r="H77" s="78"/>
      <c r="I77" s="467"/>
      <c r="J77" s="78"/>
    </row>
    <row r="78" spans="1:10" x14ac:dyDescent="0.25">
      <c r="A78" s="78"/>
      <c r="B78" s="468"/>
      <c r="C78" s="78"/>
      <c r="D78" s="78"/>
      <c r="E78" s="78"/>
      <c r="F78" s="78"/>
      <c r="G78" s="78"/>
      <c r="H78" s="78"/>
      <c r="I78" s="467"/>
      <c r="J78" s="78"/>
    </row>
    <row r="79" spans="1:10" x14ac:dyDescent="0.25">
      <c r="A79" s="78"/>
      <c r="B79" s="468"/>
      <c r="C79" s="78"/>
      <c r="D79" s="78"/>
      <c r="E79" s="78"/>
      <c r="F79" s="78"/>
      <c r="G79" s="78"/>
      <c r="H79" s="78"/>
      <c r="I79" s="467"/>
      <c r="J79" s="78"/>
    </row>
    <row r="80" spans="1:10" x14ac:dyDescent="0.25">
      <c r="A80" s="57"/>
      <c r="B80" s="1836"/>
      <c r="C80" s="57"/>
      <c r="D80" s="57"/>
      <c r="E80" s="57"/>
      <c r="F80" s="57"/>
      <c r="G80" s="57"/>
      <c r="H80" s="57"/>
      <c r="I80" s="1837"/>
      <c r="J80" s="57"/>
    </row>
    <row r="81" spans="2:9" s="57" customFormat="1" x14ac:dyDescent="0.25">
      <c r="B81" s="1836"/>
      <c r="I81" s="1837"/>
    </row>
    <row r="82" spans="2:9" s="57" customFormat="1" x14ac:dyDescent="0.25">
      <c r="B82" s="1836"/>
      <c r="I82" s="1837"/>
    </row>
    <row r="83" spans="2:9" s="57" customFormat="1" x14ac:dyDescent="0.25">
      <c r="B83" s="1836"/>
      <c r="I83" s="1837"/>
    </row>
    <row r="84" spans="2:9" s="57" customFormat="1" x14ac:dyDescent="0.25">
      <c r="B84" s="1836"/>
      <c r="I84" s="1837"/>
    </row>
    <row r="85" spans="2:9" s="57" customFormat="1" x14ac:dyDescent="0.25">
      <c r="B85" s="1836"/>
      <c r="I85" s="1837"/>
    </row>
    <row r="86" spans="2:9" s="57" customFormat="1" x14ac:dyDescent="0.25">
      <c r="B86" s="1836"/>
      <c r="I86" s="1837"/>
    </row>
    <row r="87" spans="2:9" s="57" customFormat="1" x14ac:dyDescent="0.25">
      <c r="B87" s="1836"/>
      <c r="I87" s="1837"/>
    </row>
    <row r="88" spans="2:9" s="57" customFormat="1" x14ac:dyDescent="0.25">
      <c r="B88" s="1836"/>
      <c r="I88" s="1837"/>
    </row>
    <row r="89" spans="2:9" s="57" customFormat="1" x14ac:dyDescent="0.25">
      <c r="B89" s="1836"/>
      <c r="I89" s="1837"/>
    </row>
    <row r="90" spans="2:9" s="57" customFormat="1" x14ac:dyDescent="0.25">
      <c r="B90" s="1836"/>
      <c r="I90" s="1837"/>
    </row>
    <row r="91" spans="2:9" s="57" customFormat="1" x14ac:dyDescent="0.25">
      <c r="B91" s="1836"/>
      <c r="I91" s="1837"/>
    </row>
    <row r="92" spans="2:9" s="57" customFormat="1" x14ac:dyDescent="0.25">
      <c r="B92" s="1836"/>
      <c r="I92" s="1837"/>
    </row>
    <row r="93" spans="2:9" s="57" customFormat="1" x14ac:dyDescent="0.25">
      <c r="B93" s="1836"/>
      <c r="I93" s="1837"/>
    </row>
    <row r="94" spans="2:9" s="57" customFormat="1" x14ac:dyDescent="0.25">
      <c r="B94" s="1836"/>
      <c r="I94" s="1837"/>
    </row>
    <row r="95" spans="2:9" s="57" customFormat="1" x14ac:dyDescent="0.25">
      <c r="B95" s="1836"/>
      <c r="I95" s="1837"/>
    </row>
    <row r="96" spans="2:9" s="57" customFormat="1" x14ac:dyDescent="0.25">
      <c r="B96" s="1836"/>
      <c r="I96" s="1837"/>
    </row>
    <row r="97" spans="2:9" s="57" customFormat="1" x14ac:dyDescent="0.25">
      <c r="B97" s="1836"/>
      <c r="I97" s="1837"/>
    </row>
    <row r="98" spans="2:9" s="57" customFormat="1" x14ac:dyDescent="0.25">
      <c r="B98" s="1836"/>
      <c r="I98" s="1837"/>
    </row>
    <row r="99" spans="2:9" s="57" customFormat="1" x14ac:dyDescent="0.25">
      <c r="B99" s="1836"/>
      <c r="I99" s="1837"/>
    </row>
    <row r="100" spans="2:9" s="57" customFormat="1" x14ac:dyDescent="0.25">
      <c r="B100" s="1836"/>
      <c r="I100" s="1837"/>
    </row>
    <row r="101" spans="2:9" s="57" customFormat="1" x14ac:dyDescent="0.25">
      <c r="B101" s="1836"/>
      <c r="I101" s="1837"/>
    </row>
    <row r="102" spans="2:9" s="57" customFormat="1" x14ac:dyDescent="0.25">
      <c r="B102" s="1836"/>
      <c r="I102" s="1837"/>
    </row>
    <row r="103" spans="2:9" s="57" customFormat="1" x14ac:dyDescent="0.25">
      <c r="B103" s="1836"/>
      <c r="I103" s="1837"/>
    </row>
    <row r="104" spans="2:9" s="57" customFormat="1" x14ac:dyDescent="0.25">
      <c r="B104" s="1836"/>
      <c r="I104" s="1837"/>
    </row>
    <row r="105" spans="2:9" s="57" customFormat="1" x14ac:dyDescent="0.25">
      <c r="B105" s="1836"/>
      <c r="I105" s="1837"/>
    </row>
    <row r="106" spans="2:9" s="57" customFormat="1" x14ac:dyDescent="0.25">
      <c r="B106" s="1836"/>
      <c r="I106" s="1837"/>
    </row>
    <row r="107" spans="2:9" s="57" customFormat="1" x14ac:dyDescent="0.25">
      <c r="B107" s="1836"/>
      <c r="I107" s="1837"/>
    </row>
    <row r="108" spans="2:9" s="57" customFormat="1" x14ac:dyDescent="0.25">
      <c r="B108" s="1836"/>
      <c r="I108" s="1837"/>
    </row>
    <row r="109" spans="2:9" s="57" customFormat="1" x14ac:dyDescent="0.25">
      <c r="B109" s="1836"/>
      <c r="I109" s="1837"/>
    </row>
    <row r="110" spans="2:9" s="57" customFormat="1" x14ac:dyDescent="0.25">
      <c r="B110" s="1836"/>
      <c r="I110" s="1837"/>
    </row>
    <row r="111" spans="2:9" s="57" customFormat="1" x14ac:dyDescent="0.25">
      <c r="B111" s="1836"/>
      <c r="I111" s="1837"/>
    </row>
    <row r="112" spans="2:9" s="57" customFormat="1" x14ac:dyDescent="0.25">
      <c r="B112" s="1836"/>
      <c r="I112" s="1837"/>
    </row>
    <row r="113" spans="2:9" s="57" customFormat="1" x14ac:dyDescent="0.25">
      <c r="B113" s="1836"/>
      <c r="I113" s="1837"/>
    </row>
    <row r="114" spans="2:9" s="57" customFormat="1" x14ac:dyDescent="0.25">
      <c r="B114" s="1836"/>
      <c r="I114" s="1837"/>
    </row>
    <row r="115" spans="2:9" s="57" customFormat="1" x14ac:dyDescent="0.25">
      <c r="B115" s="1836"/>
      <c r="I115" s="1837"/>
    </row>
    <row r="116" spans="2:9" s="57" customFormat="1" x14ac:dyDescent="0.25">
      <c r="B116" s="1836"/>
      <c r="I116" s="1837"/>
    </row>
    <row r="117" spans="2:9" s="57" customFormat="1" x14ac:dyDescent="0.25">
      <c r="B117" s="1836"/>
      <c r="I117" s="1837"/>
    </row>
    <row r="118" spans="2:9" s="57" customFormat="1" x14ac:dyDescent="0.25">
      <c r="B118" s="1836"/>
      <c r="I118" s="1837"/>
    </row>
    <row r="119" spans="2:9" s="57" customFormat="1" x14ac:dyDescent="0.25">
      <c r="B119" s="1836"/>
      <c r="I119" s="1837"/>
    </row>
    <row r="120" spans="2:9" s="57" customFormat="1" x14ac:dyDescent="0.25">
      <c r="B120" s="1836"/>
      <c r="I120" s="1837"/>
    </row>
    <row r="121" spans="2:9" s="57" customFormat="1" x14ac:dyDescent="0.25">
      <c r="B121" s="1836"/>
      <c r="I121" s="1837"/>
    </row>
    <row r="122" spans="2:9" s="57" customFormat="1" x14ac:dyDescent="0.25">
      <c r="B122" s="1836"/>
      <c r="I122" s="1837"/>
    </row>
    <row r="123" spans="2:9" s="57" customFormat="1" x14ac:dyDescent="0.25">
      <c r="B123" s="1836"/>
      <c r="I123" s="1837"/>
    </row>
    <row r="124" spans="2:9" s="57" customFormat="1" x14ac:dyDescent="0.25">
      <c r="B124" s="1836"/>
      <c r="I124" s="1837"/>
    </row>
    <row r="125" spans="2:9" s="57" customFormat="1" x14ac:dyDescent="0.25">
      <c r="B125" s="1836"/>
      <c r="I125" s="1837"/>
    </row>
    <row r="126" spans="2:9" s="57" customFormat="1" x14ac:dyDescent="0.25">
      <c r="B126" s="1836"/>
      <c r="I126" s="1837"/>
    </row>
    <row r="127" spans="2:9" s="57" customFormat="1" x14ac:dyDescent="0.25">
      <c r="B127" s="1836"/>
      <c r="I127" s="1837"/>
    </row>
    <row r="128" spans="2:9" s="57" customFormat="1" x14ac:dyDescent="0.25">
      <c r="B128" s="1836"/>
      <c r="I128" s="1837"/>
    </row>
    <row r="129" spans="2:9" s="57" customFormat="1" x14ac:dyDescent="0.25">
      <c r="B129" s="1836"/>
      <c r="I129" s="1837"/>
    </row>
    <row r="130" spans="2:9" s="57" customFormat="1" x14ac:dyDescent="0.25">
      <c r="B130" s="1836"/>
      <c r="I130" s="1837"/>
    </row>
    <row r="131" spans="2:9" s="57" customFormat="1" x14ac:dyDescent="0.25">
      <c r="B131" s="1836"/>
      <c r="I131" s="1837"/>
    </row>
    <row r="132" spans="2:9" s="57" customFormat="1" x14ac:dyDescent="0.25">
      <c r="B132" s="1836"/>
      <c r="I132" s="1837"/>
    </row>
    <row r="133" spans="2:9" s="57" customFormat="1" x14ac:dyDescent="0.25">
      <c r="B133" s="1836"/>
      <c r="I133" s="1837"/>
    </row>
    <row r="134" spans="2:9" s="57" customFormat="1" x14ac:dyDescent="0.25">
      <c r="B134" s="1836"/>
      <c r="I134" s="1837"/>
    </row>
    <row r="135" spans="2:9" s="57" customFormat="1" x14ac:dyDescent="0.25">
      <c r="B135" s="1836"/>
      <c r="I135" s="1837"/>
    </row>
    <row r="136" spans="2:9" s="57" customFormat="1" x14ac:dyDescent="0.25">
      <c r="B136" s="1836"/>
      <c r="I136" s="1837"/>
    </row>
    <row r="137" spans="2:9" s="57" customFormat="1" x14ac:dyDescent="0.25">
      <c r="B137" s="1836"/>
      <c r="I137" s="1837"/>
    </row>
    <row r="138" spans="2:9" s="57" customFormat="1" x14ac:dyDescent="0.25">
      <c r="B138" s="1836"/>
      <c r="I138" s="1837"/>
    </row>
    <row r="139" spans="2:9" s="57" customFormat="1" x14ac:dyDescent="0.25">
      <c r="B139" s="1836"/>
      <c r="I139" s="1837"/>
    </row>
    <row r="140" spans="2:9" s="57" customFormat="1" x14ac:dyDescent="0.25">
      <c r="B140" s="1836"/>
      <c r="I140" s="1837"/>
    </row>
    <row r="141" spans="2:9" s="57" customFormat="1" x14ac:dyDescent="0.25">
      <c r="B141" s="1836"/>
      <c r="I141" s="1837"/>
    </row>
    <row r="142" spans="2:9" s="57" customFormat="1" x14ac:dyDescent="0.25">
      <c r="B142" s="1836"/>
      <c r="I142" s="1837"/>
    </row>
    <row r="143" spans="2:9" s="57" customFormat="1" x14ac:dyDescent="0.25">
      <c r="B143" s="1836"/>
      <c r="I143" s="1837"/>
    </row>
    <row r="144" spans="2:9" s="57" customFormat="1" x14ac:dyDescent="0.25">
      <c r="B144" s="1836"/>
      <c r="I144" s="1837"/>
    </row>
    <row r="145" spans="2:9" s="57" customFormat="1" x14ac:dyDescent="0.25">
      <c r="B145" s="1836"/>
      <c r="I145" s="1837"/>
    </row>
    <row r="146" spans="2:9" s="57" customFormat="1" x14ac:dyDescent="0.25">
      <c r="B146" s="1836"/>
      <c r="I146" s="1837"/>
    </row>
    <row r="147" spans="2:9" s="57" customFormat="1" x14ac:dyDescent="0.25">
      <c r="B147" s="1836"/>
      <c r="I147" s="1837"/>
    </row>
    <row r="148" spans="2:9" s="57" customFormat="1" x14ac:dyDescent="0.25">
      <c r="B148" s="1836"/>
      <c r="I148" s="1837"/>
    </row>
    <row r="149" spans="2:9" s="57" customFormat="1" x14ac:dyDescent="0.25">
      <c r="B149" s="1836"/>
      <c r="I149" s="1837"/>
    </row>
    <row r="150" spans="2:9" s="57" customFormat="1" x14ac:dyDescent="0.25">
      <c r="B150" s="1836"/>
      <c r="I150" s="1837"/>
    </row>
    <row r="151" spans="2:9" s="57" customFormat="1" x14ac:dyDescent="0.25">
      <c r="B151" s="1836"/>
      <c r="I151" s="1837"/>
    </row>
    <row r="152" spans="2:9" s="57" customFormat="1" x14ac:dyDescent="0.25">
      <c r="B152" s="1836"/>
      <c r="I152" s="1837"/>
    </row>
    <row r="153" spans="2:9" s="57" customFormat="1" x14ac:dyDescent="0.25">
      <c r="B153" s="1836"/>
      <c r="I153" s="1837"/>
    </row>
    <row r="154" spans="2:9" s="57" customFormat="1" x14ac:dyDescent="0.25">
      <c r="B154" s="1836"/>
      <c r="I154" s="1837"/>
    </row>
    <row r="155" spans="2:9" s="57" customFormat="1" x14ac:dyDescent="0.25">
      <c r="B155" s="1836"/>
      <c r="I155" s="1837"/>
    </row>
    <row r="156" spans="2:9" s="57" customFormat="1" x14ac:dyDescent="0.25">
      <c r="B156" s="1836"/>
      <c r="I156" s="1837"/>
    </row>
    <row r="157" spans="2:9" s="57" customFormat="1" x14ac:dyDescent="0.25">
      <c r="B157" s="1836"/>
      <c r="I157" s="1837"/>
    </row>
    <row r="158" spans="2:9" s="57" customFormat="1" x14ac:dyDescent="0.25">
      <c r="B158" s="1836"/>
      <c r="I158" s="1837"/>
    </row>
    <row r="159" spans="2:9" s="57" customFormat="1" x14ac:dyDescent="0.25">
      <c r="B159" s="1836"/>
      <c r="I159" s="1837"/>
    </row>
    <row r="160" spans="2:9" s="57" customFormat="1" x14ac:dyDescent="0.25">
      <c r="B160" s="1836"/>
      <c r="I160" s="1837"/>
    </row>
    <row r="161" spans="2:9" s="57" customFormat="1" x14ac:dyDescent="0.25">
      <c r="B161" s="1836"/>
      <c r="I161" s="1837"/>
    </row>
    <row r="162" spans="2:9" s="57" customFormat="1" x14ac:dyDescent="0.25">
      <c r="B162" s="1836"/>
      <c r="I162" s="1837"/>
    </row>
    <row r="163" spans="2:9" s="57" customFormat="1" x14ac:dyDescent="0.25">
      <c r="B163" s="1836"/>
      <c r="I163" s="1837"/>
    </row>
    <row r="164" spans="2:9" s="57" customFormat="1" x14ac:dyDescent="0.25">
      <c r="B164" s="1836"/>
      <c r="I164" s="1837"/>
    </row>
    <row r="165" spans="2:9" s="57" customFormat="1" x14ac:dyDescent="0.25">
      <c r="B165" s="1836"/>
      <c r="I165" s="1837"/>
    </row>
    <row r="166" spans="2:9" s="57" customFormat="1" x14ac:dyDescent="0.25">
      <c r="B166" s="1836"/>
      <c r="I166" s="1837"/>
    </row>
    <row r="167" spans="2:9" s="57" customFormat="1" x14ac:dyDescent="0.25">
      <c r="B167" s="1836"/>
      <c r="I167" s="1837"/>
    </row>
    <row r="168" spans="2:9" s="57" customFormat="1" x14ac:dyDescent="0.25">
      <c r="B168" s="1836"/>
      <c r="I168" s="1837"/>
    </row>
    <row r="169" spans="2:9" s="57" customFormat="1" x14ac:dyDescent="0.25">
      <c r="B169" s="1836"/>
      <c r="I169" s="1837"/>
    </row>
    <row r="170" spans="2:9" s="57" customFormat="1" x14ac:dyDescent="0.25">
      <c r="B170" s="1836"/>
      <c r="I170" s="1837"/>
    </row>
    <row r="171" spans="2:9" s="57" customFormat="1" x14ac:dyDescent="0.25">
      <c r="B171" s="1836"/>
      <c r="I171" s="1837"/>
    </row>
    <row r="172" spans="2:9" s="57" customFormat="1" x14ac:dyDescent="0.25">
      <c r="B172" s="1836"/>
      <c r="I172" s="1837"/>
    </row>
    <row r="173" spans="2:9" s="57" customFormat="1" x14ac:dyDescent="0.25">
      <c r="B173" s="1836"/>
      <c r="I173" s="1837"/>
    </row>
    <row r="174" spans="2:9" s="57" customFormat="1" x14ac:dyDescent="0.25">
      <c r="B174" s="1836"/>
      <c r="I174" s="1837"/>
    </row>
    <row r="175" spans="2:9" s="57" customFormat="1" x14ac:dyDescent="0.25">
      <c r="B175" s="1836"/>
      <c r="I175" s="1837"/>
    </row>
    <row r="176" spans="2:9" s="57" customFormat="1" x14ac:dyDescent="0.25">
      <c r="B176" s="1836"/>
      <c r="I176" s="1837"/>
    </row>
    <row r="177" spans="2:9" s="57" customFormat="1" x14ac:dyDescent="0.25">
      <c r="B177" s="1836"/>
      <c r="I177" s="1837"/>
    </row>
    <row r="178" spans="2:9" s="57" customFormat="1" x14ac:dyDescent="0.25">
      <c r="B178" s="1836"/>
      <c r="I178" s="1837"/>
    </row>
    <row r="179" spans="2:9" s="57" customFormat="1" x14ac:dyDescent="0.25">
      <c r="B179" s="1836"/>
      <c r="I179" s="1837"/>
    </row>
    <row r="180" spans="2:9" s="57" customFormat="1" x14ac:dyDescent="0.25">
      <c r="B180" s="1836"/>
      <c r="I180" s="1837"/>
    </row>
    <row r="181" spans="2:9" s="57" customFormat="1" x14ac:dyDescent="0.25">
      <c r="B181" s="1836"/>
      <c r="I181" s="1837"/>
    </row>
    <row r="182" spans="2:9" s="57" customFormat="1" x14ac:dyDescent="0.25">
      <c r="B182" s="1836"/>
      <c r="I182" s="1837"/>
    </row>
    <row r="183" spans="2:9" s="57" customFormat="1" x14ac:dyDescent="0.25">
      <c r="B183" s="1836"/>
      <c r="I183" s="1837"/>
    </row>
    <row r="184" spans="2:9" s="57" customFormat="1" x14ac:dyDescent="0.25">
      <c r="B184" s="1836"/>
      <c r="I184" s="1837"/>
    </row>
    <row r="185" spans="2:9" s="57" customFormat="1" x14ac:dyDescent="0.25">
      <c r="B185" s="1836"/>
      <c r="I185" s="1837"/>
    </row>
    <row r="186" spans="2:9" s="57" customFormat="1" x14ac:dyDescent="0.25">
      <c r="B186" s="1836"/>
      <c r="I186" s="1837"/>
    </row>
    <row r="187" spans="2:9" s="57" customFormat="1" x14ac:dyDescent="0.25">
      <c r="B187" s="1836"/>
      <c r="I187" s="1837"/>
    </row>
    <row r="188" spans="2:9" s="57" customFormat="1" x14ac:dyDescent="0.25">
      <c r="B188" s="1836"/>
      <c r="I188" s="1837"/>
    </row>
    <row r="189" spans="2:9" s="57" customFormat="1" x14ac:dyDescent="0.25">
      <c r="B189" s="1836"/>
      <c r="I189" s="1837"/>
    </row>
    <row r="190" spans="2:9" s="57" customFormat="1" x14ac:dyDescent="0.25">
      <c r="B190" s="1836"/>
      <c r="I190" s="1837"/>
    </row>
    <row r="191" spans="2:9" s="57" customFormat="1" x14ac:dyDescent="0.25">
      <c r="B191" s="1836"/>
      <c r="I191" s="1837"/>
    </row>
    <row r="192" spans="2:9" s="57" customFormat="1" x14ac:dyDescent="0.25">
      <c r="B192" s="1836"/>
      <c r="I192" s="1837"/>
    </row>
    <row r="193" spans="2:9" s="57" customFormat="1" x14ac:dyDescent="0.25">
      <c r="B193" s="1836"/>
      <c r="I193" s="1837"/>
    </row>
    <row r="194" spans="2:9" s="57" customFormat="1" x14ac:dyDescent="0.25">
      <c r="B194" s="1836"/>
      <c r="I194" s="1837"/>
    </row>
    <row r="195" spans="2:9" s="57" customFormat="1" x14ac:dyDescent="0.25">
      <c r="B195" s="1836"/>
      <c r="I195" s="1837"/>
    </row>
    <row r="196" spans="2:9" s="57" customFormat="1" x14ac:dyDescent="0.25">
      <c r="B196" s="1836"/>
      <c r="I196" s="1837"/>
    </row>
    <row r="197" spans="2:9" s="57" customFormat="1" x14ac:dyDescent="0.25">
      <c r="B197" s="1836"/>
      <c r="I197" s="1837"/>
    </row>
    <row r="198" spans="2:9" s="57" customFormat="1" x14ac:dyDescent="0.25">
      <c r="B198" s="1836"/>
      <c r="I198" s="1837"/>
    </row>
    <row r="199" spans="2:9" s="57" customFormat="1" x14ac:dyDescent="0.25">
      <c r="B199" s="1836"/>
      <c r="I199" s="1837"/>
    </row>
    <row r="200" spans="2:9" s="57" customFormat="1" x14ac:dyDescent="0.25">
      <c r="B200" s="1836"/>
      <c r="I200" s="1837"/>
    </row>
    <row r="201" spans="2:9" s="57" customFormat="1" x14ac:dyDescent="0.25">
      <c r="B201" s="1836"/>
      <c r="I201" s="1837"/>
    </row>
    <row r="202" spans="2:9" s="57" customFormat="1" x14ac:dyDescent="0.25">
      <c r="B202" s="1836"/>
      <c r="I202" s="1837"/>
    </row>
    <row r="203" spans="2:9" s="57" customFormat="1" x14ac:dyDescent="0.25">
      <c r="B203" s="1836"/>
      <c r="I203" s="1837"/>
    </row>
    <row r="204" spans="2:9" s="57" customFormat="1" x14ac:dyDescent="0.25">
      <c r="B204" s="1836"/>
      <c r="I204" s="1837"/>
    </row>
    <row r="205" spans="2:9" s="57" customFormat="1" x14ac:dyDescent="0.25">
      <c r="B205" s="1836"/>
      <c r="I205" s="1837"/>
    </row>
    <row r="206" spans="2:9" s="57" customFormat="1" x14ac:dyDescent="0.25">
      <c r="B206" s="1836"/>
      <c r="I206" s="1837"/>
    </row>
    <row r="207" spans="2:9" s="57" customFormat="1" x14ac:dyDescent="0.25">
      <c r="B207" s="1836"/>
      <c r="I207" s="1837"/>
    </row>
    <row r="208" spans="2:9" s="57" customFormat="1" x14ac:dyDescent="0.25">
      <c r="B208" s="1836"/>
      <c r="I208" s="1837"/>
    </row>
    <row r="209" spans="2:9" s="57" customFormat="1" x14ac:dyDescent="0.25">
      <c r="B209" s="1836"/>
      <c r="I209" s="1837"/>
    </row>
    <row r="210" spans="2:9" s="57" customFormat="1" x14ac:dyDescent="0.25">
      <c r="B210" s="1836"/>
      <c r="I210" s="1837"/>
    </row>
    <row r="211" spans="2:9" s="57" customFormat="1" x14ac:dyDescent="0.25">
      <c r="B211" s="1836"/>
      <c r="I211" s="1837"/>
    </row>
    <row r="212" spans="2:9" s="57" customFormat="1" x14ac:dyDescent="0.25">
      <c r="B212" s="1836"/>
      <c r="I212" s="1837"/>
    </row>
    <row r="213" spans="2:9" s="57" customFormat="1" x14ac:dyDescent="0.25">
      <c r="B213" s="1836"/>
      <c r="I213" s="1837"/>
    </row>
    <row r="214" spans="2:9" s="57" customFormat="1" x14ac:dyDescent="0.25">
      <c r="B214" s="1836"/>
      <c r="I214" s="1837"/>
    </row>
    <row r="215" spans="2:9" s="57" customFormat="1" x14ac:dyDescent="0.25">
      <c r="B215" s="1836"/>
      <c r="I215" s="1837"/>
    </row>
    <row r="216" spans="2:9" s="57" customFormat="1" x14ac:dyDescent="0.25">
      <c r="B216" s="1836"/>
      <c r="I216" s="1837"/>
    </row>
    <row r="217" spans="2:9" s="57" customFormat="1" x14ac:dyDescent="0.25">
      <c r="B217" s="1836"/>
      <c r="I217" s="1837"/>
    </row>
    <row r="218" spans="2:9" s="57" customFormat="1" x14ac:dyDescent="0.25">
      <c r="B218" s="1836"/>
      <c r="I218" s="1837"/>
    </row>
    <row r="219" spans="2:9" s="57" customFormat="1" x14ac:dyDescent="0.25">
      <c r="B219" s="1836"/>
      <c r="I219" s="1837"/>
    </row>
    <row r="220" spans="2:9" s="57" customFormat="1" x14ac:dyDescent="0.25">
      <c r="B220" s="1836"/>
      <c r="I220" s="1837"/>
    </row>
    <row r="221" spans="2:9" s="57" customFormat="1" x14ac:dyDescent="0.25">
      <c r="B221" s="1836"/>
      <c r="I221" s="1837"/>
    </row>
    <row r="222" spans="2:9" s="57" customFormat="1" x14ac:dyDescent="0.25">
      <c r="B222" s="1836"/>
      <c r="I222" s="1837"/>
    </row>
    <row r="223" spans="2:9" s="57" customFormat="1" x14ac:dyDescent="0.25">
      <c r="B223" s="1836"/>
      <c r="I223" s="1837"/>
    </row>
    <row r="224" spans="2:9" s="57" customFormat="1" x14ac:dyDescent="0.25">
      <c r="B224" s="1836"/>
      <c r="I224" s="1837"/>
    </row>
    <row r="225" spans="2:9" s="57" customFormat="1" x14ac:dyDescent="0.25">
      <c r="B225" s="1836"/>
      <c r="I225" s="1837"/>
    </row>
    <row r="226" spans="2:9" s="57" customFormat="1" x14ac:dyDescent="0.25">
      <c r="B226" s="1836"/>
      <c r="I226" s="1837"/>
    </row>
    <row r="227" spans="2:9" s="57" customFormat="1" x14ac:dyDescent="0.25">
      <c r="B227" s="1836"/>
      <c r="I227" s="1837"/>
    </row>
    <row r="228" spans="2:9" s="57" customFormat="1" x14ac:dyDescent="0.25">
      <c r="B228" s="1836"/>
      <c r="I228" s="1837"/>
    </row>
    <row r="229" spans="2:9" s="57" customFormat="1" x14ac:dyDescent="0.25">
      <c r="B229" s="1836"/>
      <c r="I229" s="1837"/>
    </row>
    <row r="230" spans="2:9" s="57" customFormat="1" x14ac:dyDescent="0.25">
      <c r="B230" s="1836"/>
      <c r="I230" s="1837"/>
    </row>
    <row r="231" spans="2:9" s="57" customFormat="1" x14ac:dyDescent="0.25">
      <c r="B231" s="1836"/>
      <c r="I231" s="1837"/>
    </row>
    <row r="232" spans="2:9" s="57" customFormat="1" x14ac:dyDescent="0.25">
      <c r="B232" s="1836"/>
      <c r="I232" s="1837"/>
    </row>
    <row r="233" spans="2:9" s="57" customFormat="1" x14ac:dyDescent="0.25">
      <c r="B233" s="1836"/>
      <c r="I233" s="1837"/>
    </row>
    <row r="234" spans="2:9" s="57" customFormat="1" x14ac:dyDescent="0.25">
      <c r="B234" s="1836"/>
      <c r="I234" s="1837"/>
    </row>
    <row r="235" spans="2:9" s="57" customFormat="1" x14ac:dyDescent="0.25">
      <c r="B235" s="1836"/>
      <c r="I235" s="1837"/>
    </row>
    <row r="236" spans="2:9" s="57" customFormat="1" x14ac:dyDescent="0.25">
      <c r="B236" s="1836"/>
      <c r="I236" s="1837"/>
    </row>
    <row r="237" spans="2:9" s="57" customFormat="1" x14ac:dyDescent="0.25">
      <c r="B237" s="1836"/>
      <c r="I237" s="1837"/>
    </row>
    <row r="238" spans="2:9" s="57" customFormat="1" x14ac:dyDescent="0.25">
      <c r="B238" s="1836"/>
      <c r="I238" s="1837"/>
    </row>
    <row r="239" spans="2:9" s="57" customFormat="1" x14ac:dyDescent="0.25">
      <c r="B239" s="1836"/>
      <c r="I239" s="1837"/>
    </row>
    <row r="240" spans="2:9" s="57" customFormat="1" x14ac:dyDescent="0.25">
      <c r="B240" s="1836"/>
      <c r="I240" s="1837"/>
    </row>
    <row r="241" spans="2:9" s="57" customFormat="1" x14ac:dyDescent="0.25">
      <c r="B241" s="1836"/>
      <c r="I241" s="1837"/>
    </row>
    <row r="242" spans="2:9" s="57" customFormat="1" x14ac:dyDescent="0.25">
      <c r="B242" s="1836"/>
      <c r="I242" s="1837"/>
    </row>
    <row r="243" spans="2:9" s="57" customFormat="1" x14ac:dyDescent="0.25">
      <c r="B243" s="1836"/>
      <c r="I243" s="1837"/>
    </row>
    <row r="244" spans="2:9" s="57" customFormat="1" x14ac:dyDescent="0.25">
      <c r="B244" s="1836"/>
      <c r="I244" s="1837"/>
    </row>
    <row r="245" spans="2:9" s="57" customFormat="1" x14ac:dyDescent="0.25">
      <c r="B245" s="1836"/>
      <c r="I245" s="1837"/>
    </row>
    <row r="246" spans="2:9" s="57" customFormat="1" x14ac:dyDescent="0.25">
      <c r="B246" s="1836"/>
      <c r="I246" s="1837"/>
    </row>
    <row r="247" spans="2:9" s="57" customFormat="1" x14ac:dyDescent="0.25">
      <c r="B247" s="1836"/>
      <c r="I247" s="1837"/>
    </row>
    <row r="248" spans="2:9" s="57" customFormat="1" x14ac:dyDescent="0.25">
      <c r="B248" s="1836"/>
      <c r="I248" s="1837"/>
    </row>
    <row r="249" spans="2:9" s="57" customFormat="1" x14ac:dyDescent="0.25">
      <c r="B249" s="1836"/>
      <c r="I249" s="1837"/>
    </row>
    <row r="250" spans="2:9" s="57" customFormat="1" x14ac:dyDescent="0.25">
      <c r="B250" s="1836"/>
      <c r="I250" s="1837"/>
    </row>
    <row r="251" spans="2:9" s="57" customFormat="1" x14ac:dyDescent="0.25">
      <c r="B251" s="1836"/>
      <c r="I251" s="1837"/>
    </row>
    <row r="252" spans="2:9" s="57" customFormat="1" x14ac:dyDescent="0.25">
      <c r="B252" s="1836"/>
      <c r="I252" s="1837"/>
    </row>
    <row r="253" spans="2:9" s="57" customFormat="1" x14ac:dyDescent="0.25">
      <c r="B253" s="1836"/>
      <c r="I253" s="1837"/>
    </row>
    <row r="254" spans="2:9" s="57" customFormat="1" x14ac:dyDescent="0.25">
      <c r="B254" s="1836"/>
      <c r="I254" s="1837"/>
    </row>
    <row r="255" spans="2:9" s="57" customFormat="1" x14ac:dyDescent="0.25">
      <c r="B255" s="1836"/>
      <c r="I255" s="1837"/>
    </row>
    <row r="256" spans="2:9" s="57" customFormat="1" x14ac:dyDescent="0.25">
      <c r="B256" s="1836"/>
      <c r="I256" s="1837"/>
    </row>
    <row r="257" spans="2:9" s="57" customFormat="1" x14ac:dyDescent="0.25">
      <c r="B257" s="1836"/>
      <c r="I257" s="1837"/>
    </row>
    <row r="258" spans="2:9" s="57" customFormat="1" x14ac:dyDescent="0.25">
      <c r="B258" s="1836"/>
      <c r="I258" s="1837"/>
    </row>
    <row r="259" spans="2:9" s="57" customFormat="1" x14ac:dyDescent="0.25">
      <c r="B259" s="1836"/>
      <c r="I259" s="1837"/>
    </row>
    <row r="260" spans="2:9" s="57" customFormat="1" x14ac:dyDescent="0.25">
      <c r="B260" s="1836"/>
      <c r="I260" s="1837"/>
    </row>
    <row r="261" spans="2:9" s="57" customFormat="1" x14ac:dyDescent="0.25">
      <c r="B261" s="1836"/>
      <c r="I261" s="1837"/>
    </row>
    <row r="262" spans="2:9" s="57" customFormat="1" x14ac:dyDescent="0.25">
      <c r="B262" s="1836"/>
      <c r="I262" s="1837"/>
    </row>
    <row r="263" spans="2:9" s="57" customFormat="1" x14ac:dyDescent="0.25">
      <c r="B263" s="1836"/>
      <c r="I263" s="1837"/>
    </row>
    <row r="264" spans="2:9" s="57" customFormat="1" x14ac:dyDescent="0.25">
      <c r="B264" s="1836"/>
      <c r="I264" s="1837"/>
    </row>
    <row r="265" spans="2:9" s="57" customFormat="1" x14ac:dyDescent="0.25">
      <c r="B265" s="1836"/>
      <c r="I265" s="1837"/>
    </row>
    <row r="266" spans="2:9" s="57" customFormat="1" x14ac:dyDescent="0.25">
      <c r="B266" s="1836"/>
      <c r="I266" s="1837"/>
    </row>
    <row r="267" spans="2:9" s="57" customFormat="1" x14ac:dyDescent="0.25">
      <c r="B267" s="1836"/>
      <c r="I267" s="1837"/>
    </row>
    <row r="268" spans="2:9" s="57" customFormat="1" x14ac:dyDescent="0.25">
      <c r="B268" s="1836"/>
      <c r="I268" s="1837"/>
    </row>
    <row r="269" spans="2:9" s="57" customFormat="1" x14ac:dyDescent="0.25">
      <c r="B269" s="1836"/>
      <c r="I269" s="1837"/>
    </row>
    <row r="270" spans="2:9" s="57" customFormat="1" x14ac:dyDescent="0.25">
      <c r="B270" s="1836"/>
      <c r="I270" s="1837"/>
    </row>
    <row r="271" spans="2:9" s="57" customFormat="1" x14ac:dyDescent="0.25">
      <c r="B271" s="1836"/>
      <c r="I271" s="1837"/>
    </row>
    <row r="272" spans="2:9" s="57" customFormat="1" x14ac:dyDescent="0.25">
      <c r="B272" s="1836"/>
      <c r="I272" s="1837"/>
    </row>
    <row r="273" spans="2:9" s="57" customFormat="1" x14ac:dyDescent="0.25">
      <c r="B273" s="1836"/>
      <c r="I273" s="1837"/>
    </row>
    <row r="274" spans="2:9" s="57" customFormat="1" x14ac:dyDescent="0.25">
      <c r="B274" s="1836"/>
      <c r="I274" s="1837"/>
    </row>
    <row r="275" spans="2:9" s="57" customFormat="1" x14ac:dyDescent="0.25">
      <c r="B275" s="1836"/>
      <c r="I275" s="1837"/>
    </row>
    <row r="276" spans="2:9" s="57" customFormat="1" x14ac:dyDescent="0.25">
      <c r="B276" s="1836"/>
      <c r="I276" s="1837"/>
    </row>
    <row r="277" spans="2:9" s="57" customFormat="1" x14ac:dyDescent="0.25">
      <c r="B277" s="1836"/>
      <c r="I277" s="1837"/>
    </row>
    <row r="278" spans="2:9" s="57" customFormat="1" x14ac:dyDescent="0.25">
      <c r="B278" s="1836"/>
      <c r="I278" s="1837"/>
    </row>
    <row r="279" spans="2:9" s="57" customFormat="1" x14ac:dyDescent="0.25">
      <c r="B279" s="1836"/>
      <c r="I279" s="1837"/>
    </row>
    <row r="280" spans="2:9" s="57" customFormat="1" x14ac:dyDescent="0.25">
      <c r="B280" s="1836"/>
      <c r="I280" s="1837"/>
    </row>
    <row r="281" spans="2:9" s="57" customFormat="1" x14ac:dyDescent="0.25">
      <c r="B281" s="1836"/>
      <c r="I281" s="1837"/>
    </row>
  </sheetData>
  <sheetProtection password="E593" sheet="1" objects="1" scenarios="1"/>
  <customSheetViews>
    <customSheetView guid="{B63065A1-7838-417A-8679-08A8A2B79CD8}" scale="85" showPageBreaks="1" showGridLines="0" fitToPage="1" printArea="1" topLeftCell="A16">
      <selection activeCell="F20" sqref="F20"/>
      <pageMargins left="0.5" right="0.5" top="1" bottom="0.5" header="0" footer="0"/>
      <printOptions horizontalCentered="1"/>
      <pageSetup scale="61" orientation="landscape" blackAndWhite="1" r:id="rId1"/>
      <headerFooter alignWithMargins="0"/>
    </customSheetView>
  </customSheetViews>
  <mergeCells count="6">
    <mergeCell ref="B3:I3"/>
    <mergeCell ref="B5:I5"/>
    <mergeCell ref="B6:I6"/>
    <mergeCell ref="B62:I63"/>
    <mergeCell ref="C64:H72"/>
    <mergeCell ref="C7:H7"/>
  </mergeCells>
  <conditionalFormatting sqref="G16 G26:G31 G36:G40 G46:G49 G18:G21">
    <cfRule type="expression" dxfId="21" priority="2" stopIfTrue="1">
      <formula>$G$12="Estimated"</formula>
    </cfRule>
  </conditionalFormatting>
  <conditionalFormatting sqref="G17">
    <cfRule type="expression" dxfId="20" priority="1" stopIfTrue="1">
      <formula>$G$12="Estimated"</formula>
    </cfRule>
  </conditionalFormatting>
  <printOptions horizontalCentered="1"/>
  <pageMargins left="0.5" right="0.5" top="1" bottom="0.5" header="0" footer="0"/>
  <pageSetup scale="56"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2289" r:id="rId5" name="Button 1">
              <controlPr defaultSize="0" print="0" autoFill="0" autoPict="0" macro="[0]!BackMain">
                <anchor moveWithCells="1" sizeWithCells="1">
                  <from>
                    <xdr:col>1</xdr:col>
                    <xdr:colOff>30480</xdr:colOff>
                    <xdr:row>3</xdr:row>
                    <xdr:rowOff>38100</xdr:rowOff>
                  </from>
                  <to>
                    <xdr:col>2</xdr:col>
                    <xdr:colOff>205740</xdr:colOff>
                    <xdr:row>5</xdr:row>
                    <xdr:rowOff>76200</xdr:rowOff>
                  </to>
                </anchor>
              </controlPr>
            </control>
          </mc:Choice>
        </mc:AlternateContent>
        <mc:AlternateContent xmlns:mc="http://schemas.openxmlformats.org/markup-compatibility/2006">
          <mc:Choice Requires="x14">
            <control shapeId="12290" r:id="rId6" name="Button 2">
              <controlPr defaultSize="0" print="0" autoFill="0" autoPict="0" macro="[0]!BackMain">
                <anchor moveWithCells="1" sizeWithCells="1">
                  <from>
                    <xdr:col>7</xdr:col>
                    <xdr:colOff>922020</xdr:colOff>
                    <xdr:row>74</xdr:row>
                    <xdr:rowOff>106680</xdr:rowOff>
                  </from>
                  <to>
                    <xdr:col>9</xdr:col>
                    <xdr:colOff>30480</xdr:colOff>
                    <xdr:row>77</xdr:row>
                    <xdr:rowOff>99060</xdr:rowOff>
                  </to>
                </anchor>
              </controlPr>
            </control>
          </mc:Choice>
        </mc:AlternateContent>
        <mc:AlternateContent xmlns:mc="http://schemas.openxmlformats.org/markup-compatibility/2006">
          <mc:Choice Requires="x14">
            <control shapeId="12291" r:id="rId7" name="Button 3">
              <controlPr defaultSize="0" print="0" autoFill="0" autoPict="0" macro="[0]!PrintAttach7">
                <anchor moveWithCells="1" sizeWithCells="1">
                  <from>
                    <xdr:col>7</xdr:col>
                    <xdr:colOff>297180</xdr:colOff>
                    <xdr:row>3</xdr:row>
                    <xdr:rowOff>60960</xdr:rowOff>
                  </from>
                  <to>
                    <xdr:col>9</xdr:col>
                    <xdr:colOff>7620</xdr:colOff>
                    <xdr:row>5</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pageSetUpPr fitToPage="1"/>
  </sheetPr>
  <dimension ref="A1:M300"/>
  <sheetViews>
    <sheetView showGridLines="0" topLeftCell="A9" zoomScaleNormal="100" workbookViewId="0">
      <selection activeCell="H25" sqref="H25"/>
    </sheetView>
  </sheetViews>
  <sheetFormatPr defaultRowHeight="13.2" x14ac:dyDescent="0.25"/>
  <cols>
    <col min="1" max="1" width="8.88671875" style="28"/>
    <col min="2" max="2" width="7.33203125" style="28" customWidth="1"/>
    <col min="3" max="3" width="40" style="28" customWidth="1"/>
    <col min="4" max="4" width="5" style="28" customWidth="1"/>
    <col min="5" max="5" width="7.109375" style="28" customWidth="1"/>
    <col min="6" max="9" width="16.6640625" style="28" customWidth="1"/>
    <col min="10" max="10" width="8.88671875" style="28"/>
    <col min="11" max="11" width="11" style="28" customWidth="1"/>
    <col min="12" max="13" width="8.88671875" style="57"/>
    <col min="14" max="16384" width="8.88671875" style="28"/>
  </cols>
  <sheetData>
    <row r="1" spans="1:11" x14ac:dyDescent="0.25">
      <c r="A1" s="78"/>
      <c r="B1" s="518" t="str">
        <f>TestYear &amp; " Test Year"</f>
        <v>2023 Test Year</v>
      </c>
      <c r="C1" s="469"/>
      <c r="D1" s="524"/>
      <c r="E1" s="524"/>
      <c r="F1" s="469"/>
      <c r="G1" s="469"/>
      <c r="H1" s="469"/>
      <c r="I1" s="470"/>
      <c r="J1" s="470" t="s">
        <v>341</v>
      </c>
      <c r="K1" s="78"/>
    </row>
    <row r="2" spans="1:11" x14ac:dyDescent="0.25">
      <c r="A2" s="78"/>
      <c r="B2" s="469"/>
      <c r="C2" s="469"/>
      <c r="D2" s="525"/>
      <c r="E2" s="525"/>
      <c r="F2" s="469"/>
      <c r="G2" s="469"/>
      <c r="H2" s="469"/>
      <c r="I2" s="470"/>
      <c r="J2" s="78"/>
      <c r="K2" s="78"/>
    </row>
    <row r="3" spans="1:11" x14ac:dyDescent="0.25">
      <c r="A3" s="78"/>
      <c r="B3" s="2462" t="str">
        <f>Utility</f>
        <v>Cleveland Water Utility</v>
      </c>
      <c r="C3" s="2462"/>
      <c r="D3" s="2462"/>
      <c r="E3" s="2462"/>
      <c r="F3" s="2462"/>
      <c r="G3" s="2462"/>
      <c r="H3" s="2462"/>
      <c r="I3" s="2462"/>
      <c r="J3" s="2462"/>
      <c r="K3" s="78"/>
    </row>
    <row r="4" spans="1:11" x14ac:dyDescent="0.25">
      <c r="A4" s="78"/>
      <c r="B4" s="469"/>
      <c r="C4" s="474"/>
      <c r="D4" s="474"/>
      <c r="E4" s="474"/>
      <c r="F4" s="475"/>
      <c r="G4" s="547"/>
      <c r="H4" s="547"/>
      <c r="I4" s="473"/>
      <c r="J4" s="78"/>
      <c r="K4" s="78"/>
    </row>
    <row r="5" spans="1:11" x14ac:dyDescent="0.25">
      <c r="A5" s="78"/>
      <c r="B5" s="2408" t="s">
        <v>342</v>
      </c>
      <c r="C5" s="2408"/>
      <c r="D5" s="2408"/>
      <c r="E5" s="2408"/>
      <c r="F5" s="2408"/>
      <c r="G5" s="2408"/>
      <c r="H5" s="2408"/>
      <c r="I5" s="2408"/>
      <c r="J5" s="2408"/>
      <c r="K5" s="78"/>
    </row>
    <row r="6" spans="1:11" ht="13.8" thickBot="1" x14ac:dyDescent="0.3">
      <c r="A6" s="78"/>
      <c r="B6" s="2476" t="str">
        <f>CONCATENATE("Estimated for Test Year ",TestYear)</f>
        <v>Estimated for Test Year 2023</v>
      </c>
      <c r="C6" s="2476"/>
      <c r="D6" s="2476"/>
      <c r="E6" s="2476"/>
      <c r="F6" s="2476"/>
      <c r="G6" s="2476"/>
      <c r="H6" s="2476"/>
      <c r="I6" s="2476"/>
      <c r="J6" s="2476"/>
      <c r="K6" s="78"/>
    </row>
    <row r="7" spans="1:11" ht="27" customHeight="1" thickTop="1" x14ac:dyDescent="0.25">
      <c r="A7" s="78"/>
      <c r="B7" s="527"/>
      <c r="C7" s="2475" t="s">
        <v>1344</v>
      </c>
      <c r="D7" s="2475"/>
      <c r="E7" s="2475"/>
      <c r="F7" s="2475"/>
      <c r="G7" s="2475"/>
      <c r="H7" s="2475"/>
      <c r="I7" s="2475"/>
      <c r="J7" s="226"/>
      <c r="K7" s="78"/>
    </row>
    <row r="8" spans="1:11" ht="37.5" customHeight="1" x14ac:dyDescent="0.25">
      <c r="A8" s="78"/>
      <c r="B8" s="530"/>
      <c r="C8" s="2486" t="s">
        <v>1343</v>
      </c>
      <c r="D8" s="2486"/>
      <c r="E8" s="2486"/>
      <c r="F8" s="2486"/>
      <c r="G8" s="2486"/>
      <c r="H8" s="2486"/>
      <c r="I8" s="2486"/>
      <c r="J8" s="228"/>
      <c r="K8" s="78"/>
    </row>
    <row r="9" spans="1:11" x14ac:dyDescent="0.25">
      <c r="A9" s="78"/>
      <c r="B9" s="530"/>
      <c r="C9" s="2095" t="s">
        <v>1287</v>
      </c>
      <c r="D9" s="2094"/>
      <c r="E9" s="2094"/>
      <c r="F9" s="2094"/>
      <c r="G9" s="2094"/>
      <c r="H9" s="2094"/>
      <c r="I9" s="2094"/>
      <c r="J9" s="228"/>
      <c r="K9" s="78"/>
    </row>
    <row r="10" spans="1:11" x14ac:dyDescent="0.25">
      <c r="A10" s="78"/>
      <c r="B10" s="530"/>
      <c r="C10" s="2095" t="s">
        <v>1288</v>
      </c>
      <c r="D10" s="2094"/>
      <c r="E10" s="2094"/>
      <c r="F10" s="2094"/>
      <c r="G10" s="2094"/>
      <c r="H10" s="2094"/>
      <c r="I10" s="2094"/>
      <c r="J10" s="228"/>
      <c r="K10" s="78"/>
    </row>
    <row r="11" spans="1:11" x14ac:dyDescent="0.25">
      <c r="A11" s="78"/>
      <c r="B11" s="530"/>
      <c r="C11" s="928"/>
      <c r="D11" s="2094"/>
      <c r="E11" s="2094"/>
      <c r="F11" s="2094"/>
      <c r="G11" s="2094"/>
      <c r="H11" s="2094"/>
      <c r="I11" s="2094"/>
      <c r="J11" s="228"/>
      <c r="K11" s="78"/>
    </row>
    <row r="12" spans="1:11" x14ac:dyDescent="0.25">
      <c r="A12" s="78"/>
      <c r="B12" s="530"/>
      <c r="C12" s="526"/>
      <c r="D12" s="526"/>
      <c r="E12" s="526"/>
      <c r="F12" s="526"/>
      <c r="G12" s="526"/>
      <c r="H12" s="526"/>
      <c r="I12" s="526"/>
      <c r="J12" s="228"/>
      <c r="K12" s="78"/>
    </row>
    <row r="13" spans="1:11" x14ac:dyDescent="0.25">
      <c r="A13" s="78"/>
      <c r="B13" s="529" t="s">
        <v>343</v>
      </c>
      <c r="C13" s="477"/>
      <c r="D13" s="477"/>
      <c r="E13" s="477"/>
      <c r="F13" s="505"/>
      <c r="G13" s="505"/>
      <c r="H13" s="505"/>
      <c r="I13" s="477"/>
      <c r="J13" s="228"/>
      <c r="K13" s="78"/>
    </row>
    <row r="14" spans="1:11" ht="13.8" x14ac:dyDescent="0.25">
      <c r="A14" s="78"/>
      <c r="B14" s="530"/>
      <c r="C14" s="486" t="s">
        <v>344</v>
      </c>
      <c r="D14" s="477"/>
      <c r="E14" s="477"/>
      <c r="F14" s="505"/>
      <c r="G14" s="505"/>
      <c r="H14" s="505"/>
      <c r="I14" s="477"/>
      <c r="J14" s="228"/>
      <c r="K14" s="78"/>
    </row>
    <row r="15" spans="1:11" ht="13.8" x14ac:dyDescent="0.25">
      <c r="A15" s="78"/>
      <c r="B15" s="530"/>
      <c r="C15" s="502" t="str">
        <f>CONCATENATE(" 1)  For the years ",TestYear-3," and ",TestYear-2," the information is from the PSC Annual Reports, page W-6.")</f>
        <v xml:space="preserve"> 1)  For the years 2020 and 2021 the information is from the PSC Annual Reports, page W-6.</v>
      </c>
      <c r="D15" s="477"/>
      <c r="E15" s="477"/>
      <c r="F15" s="505"/>
      <c r="G15" s="505"/>
      <c r="H15" s="505"/>
      <c r="I15" s="477"/>
      <c r="J15" s="228"/>
      <c r="K15" s="78"/>
    </row>
    <row r="16" spans="1:11" ht="13.8" x14ac:dyDescent="0.25">
      <c r="A16" s="78"/>
      <c r="B16" s="530"/>
      <c r="C16" s="502" t="str">
        <f>CONCATENATE(" 2)  For Estimated ",TestYear-1," and Test Year ",TestYear,", the Property Tax Equivalent must agree with the")</f>
        <v xml:space="preserve"> 2)  For Estimated 2022 and Test Year 2023, the Property Tax Equivalent must agree with the</v>
      </c>
      <c r="D16" s="477"/>
      <c r="E16" s="477"/>
      <c r="F16" s="505"/>
      <c r="G16" s="505"/>
      <c r="H16" s="505"/>
      <c r="I16" s="477"/>
      <c r="J16" s="228"/>
      <c r="K16" s="78"/>
    </row>
    <row r="17" spans="1:11" ht="13.8" x14ac:dyDescent="0.25">
      <c r="A17" s="78"/>
      <c r="B17" s="530"/>
      <c r="C17" s="502" t="s">
        <v>345</v>
      </c>
      <c r="D17" s="477"/>
      <c r="E17" s="477"/>
      <c r="F17" s="505"/>
      <c r="G17" s="505"/>
      <c r="H17" s="505"/>
      <c r="I17" s="477"/>
      <c r="J17" s="228"/>
      <c r="K17" s="78"/>
    </row>
    <row r="18" spans="1:11" ht="14.4" thickBot="1" x14ac:dyDescent="0.3">
      <c r="A18" s="78"/>
      <c r="B18" s="530"/>
      <c r="C18" s="486" t="s">
        <v>346</v>
      </c>
      <c r="D18" s="477"/>
      <c r="E18" s="477"/>
      <c r="F18" s="505"/>
      <c r="G18" s="505"/>
      <c r="H18" s="505"/>
      <c r="I18" s="477"/>
      <c r="J18" s="228"/>
      <c r="K18" s="78"/>
    </row>
    <row r="19" spans="1:11" ht="14.4" thickBot="1" x14ac:dyDescent="0.3">
      <c r="A19" s="78"/>
      <c r="B19" s="530"/>
      <c r="C19" s="486" t="s">
        <v>854</v>
      </c>
      <c r="D19" s="477"/>
      <c r="E19" s="477"/>
      <c r="F19" s="505"/>
      <c r="G19" s="505"/>
      <c r="H19" s="505"/>
      <c r="I19" s="534">
        <v>50</v>
      </c>
      <c r="J19" s="228"/>
      <c r="K19" s="78"/>
    </row>
    <row r="20" spans="1:11" x14ac:dyDescent="0.25">
      <c r="A20" s="78"/>
      <c r="B20" s="229"/>
      <c r="C20" s="531"/>
      <c r="D20" s="205"/>
      <c r="E20" s="205"/>
      <c r="F20" s="532"/>
      <c r="G20" s="532"/>
      <c r="H20" s="532"/>
      <c r="I20" s="205"/>
      <c r="J20" s="228"/>
      <c r="K20" s="78"/>
    </row>
    <row r="21" spans="1:11" ht="13.8" x14ac:dyDescent="0.25">
      <c r="A21" s="78"/>
      <c r="B21" s="229"/>
      <c r="C21" s="512"/>
      <c r="D21" s="551" t="s">
        <v>347</v>
      </c>
      <c r="E21" s="551"/>
      <c r="F21" s="513" t="s">
        <v>8</v>
      </c>
      <c r="G21" s="513" t="s">
        <v>8</v>
      </c>
      <c r="H21" s="513" t="str">
        <f>Data!H5</f>
        <v>Estimated</v>
      </c>
      <c r="I21" s="513" t="s">
        <v>313</v>
      </c>
      <c r="J21" s="228"/>
      <c r="K21" s="78"/>
    </row>
    <row r="22" spans="1:11" ht="13.8" x14ac:dyDescent="0.25">
      <c r="A22" s="78"/>
      <c r="B22" s="229"/>
      <c r="C22" s="516" t="s">
        <v>315</v>
      </c>
      <c r="D22" s="552" t="s">
        <v>348</v>
      </c>
      <c r="E22" s="552"/>
      <c r="F22" s="517">
        <f>TestYear-3</f>
        <v>2020</v>
      </c>
      <c r="G22" s="517">
        <f>TestYear-2</f>
        <v>2021</v>
      </c>
      <c r="H22" s="517">
        <f>TestYear-1</f>
        <v>2022</v>
      </c>
      <c r="I22" s="517">
        <f>TestYear</f>
        <v>2023</v>
      </c>
      <c r="J22" s="228"/>
      <c r="K22" s="78"/>
    </row>
    <row r="23" spans="1:11" ht="13.8" x14ac:dyDescent="0.25">
      <c r="A23" s="78"/>
      <c r="B23" s="229"/>
      <c r="C23" s="501"/>
      <c r="D23" s="501"/>
      <c r="E23" s="501"/>
      <c r="F23" s="501"/>
      <c r="G23" s="501"/>
      <c r="H23" s="501"/>
      <c r="I23" s="501"/>
      <c r="J23" s="228"/>
      <c r="K23" s="78"/>
    </row>
    <row r="24" spans="1:11" ht="13.8" x14ac:dyDescent="0.25">
      <c r="A24" s="78"/>
      <c r="B24" s="229"/>
      <c r="C24" s="486" t="s">
        <v>349</v>
      </c>
      <c r="D24" s="486"/>
      <c r="E24" s="486"/>
      <c r="F24" s="486"/>
      <c r="G24" s="486"/>
      <c r="H24" s="486"/>
      <c r="I24" s="486"/>
      <c r="J24" s="228"/>
      <c r="K24" s="78"/>
    </row>
    <row r="25" spans="1:11" ht="13.8" x14ac:dyDescent="0.25">
      <c r="A25" s="78"/>
      <c r="B25" s="229"/>
      <c r="C25" s="486" t="s">
        <v>350</v>
      </c>
      <c r="D25" s="540" t="s">
        <v>351</v>
      </c>
      <c r="E25" s="540"/>
      <c r="F25" s="483">
        <f>Attach9!F46</f>
        <v>30300</v>
      </c>
      <c r="G25" s="483">
        <f>Attach9!G46</f>
        <v>33168</v>
      </c>
      <c r="H25" s="483">
        <f>IF(Attach9!H60=0,0,Attach9!H46)</f>
        <v>26183.841308057734</v>
      </c>
      <c r="I25" s="483">
        <f>IF(Attach9!I43=0,0,Attach9!I46)</f>
        <v>35116.077089379301</v>
      </c>
      <c r="J25" s="228"/>
      <c r="K25" s="78"/>
    </row>
    <row r="26" spans="1:11" ht="13.8" x14ac:dyDescent="0.25">
      <c r="A26" s="78"/>
      <c r="B26" s="229"/>
      <c r="C26" s="486"/>
      <c r="D26" s="486"/>
      <c r="E26" s="486"/>
      <c r="F26" s="541"/>
      <c r="G26" s="541"/>
      <c r="H26" s="541"/>
      <c r="I26" s="541"/>
      <c r="J26" s="228"/>
      <c r="K26" s="78"/>
    </row>
    <row r="27" spans="1:11" ht="13.8" x14ac:dyDescent="0.25">
      <c r="A27" s="78"/>
      <c r="B27" s="229"/>
      <c r="C27" s="542" t="s">
        <v>853</v>
      </c>
      <c r="D27" s="486"/>
      <c r="E27" s="486"/>
      <c r="F27" s="486"/>
      <c r="G27" s="486"/>
      <c r="H27" s="486"/>
      <c r="I27" s="486"/>
      <c r="J27" s="228"/>
      <c r="K27" s="78"/>
    </row>
    <row r="28" spans="1:11" ht="13.8" x14ac:dyDescent="0.25">
      <c r="A28" s="78"/>
      <c r="B28" s="229"/>
      <c r="C28" s="542" t="s">
        <v>352</v>
      </c>
      <c r="D28" s="540" t="s">
        <v>353</v>
      </c>
      <c r="E28" s="540"/>
      <c r="F28" s="549">
        <f>Data!B94</f>
        <v>773</v>
      </c>
      <c r="G28" s="549">
        <f>Data!B91</f>
        <v>791</v>
      </c>
      <c r="H28" s="549">
        <f>IF(Attach9!H43=0,0,ROUND((((Attach11!D69+Attach11a!D72)*Attach9!H38*Attach9!H41)/1000)*(I19/100)*(Attach9!H46/Attach9!H43),0))</f>
        <v>619</v>
      </c>
      <c r="I28" s="543">
        <f>IF(Attach9!I43=0,0,ROUND((((Attach11!H69+Attach11a!H72+Attach11a!I72+Attach11!I69)*Attach9!I38*Attach9!I41)/1000)*(I19/100)*(Attach9!I46/Attach9!I43),0))</f>
        <v>1242</v>
      </c>
      <c r="J28" s="228"/>
      <c r="K28" s="78"/>
    </row>
    <row r="29" spans="1:11" ht="13.8" x14ac:dyDescent="0.25">
      <c r="A29" s="78"/>
      <c r="B29" s="229"/>
      <c r="C29" s="542"/>
      <c r="D29" s="542"/>
      <c r="E29" s="486"/>
      <c r="F29" s="483"/>
      <c r="G29" s="483"/>
      <c r="H29" s="483"/>
      <c r="I29" s="483"/>
      <c r="J29" s="228"/>
      <c r="K29" s="78"/>
    </row>
    <row r="30" spans="1:11" ht="19.2" customHeight="1" x14ac:dyDescent="0.25">
      <c r="A30" s="78"/>
      <c r="B30" s="229"/>
      <c r="C30" s="486" t="s">
        <v>354</v>
      </c>
      <c r="D30" s="486"/>
      <c r="E30" s="486"/>
      <c r="F30" s="550">
        <f>F25-F28</f>
        <v>29527</v>
      </c>
      <c r="G30" s="550">
        <f>G25-G28</f>
        <v>32377</v>
      </c>
      <c r="H30" s="550">
        <f>H25-H28</f>
        <v>25564.841308057734</v>
      </c>
      <c r="I30" s="550">
        <f>I25-I28</f>
        <v>33874.077089379301</v>
      </c>
      <c r="J30" s="228"/>
      <c r="K30" s="78"/>
    </row>
    <row r="31" spans="1:11" ht="19.2" customHeight="1" x14ac:dyDescent="0.25">
      <c r="A31" s="78"/>
      <c r="B31" s="229"/>
      <c r="C31" s="486"/>
      <c r="D31" s="486"/>
      <c r="E31" s="486"/>
      <c r="F31" s="550"/>
      <c r="G31" s="550"/>
      <c r="H31" s="544"/>
      <c r="I31" s="544"/>
      <c r="J31" s="228"/>
      <c r="K31" s="78"/>
    </row>
    <row r="32" spans="1:11" ht="13.8" x14ac:dyDescent="0.25">
      <c r="A32" s="78"/>
      <c r="B32" s="229"/>
      <c r="C32" s="486" t="s">
        <v>355</v>
      </c>
      <c r="D32" s="540" t="s">
        <v>356</v>
      </c>
      <c r="E32" s="540"/>
      <c r="F32" s="483">
        <f>Data!B96</f>
        <v>6403</v>
      </c>
      <c r="G32" s="483">
        <f>Data!B93</f>
        <v>6196</v>
      </c>
      <c r="H32" s="541">
        <f>ROUND((+Attach10_D!G14+Attach10_D!G24)*0.0736,2)</f>
        <v>6697.6</v>
      </c>
      <c r="I32" s="484">
        <f>ROUND((+Attach10_D!H14+Attach10_D!H24)*0.0736,2)</f>
        <v>7411.52</v>
      </c>
      <c r="J32" s="228"/>
      <c r="K32" s="78"/>
    </row>
    <row r="33" spans="1:11" ht="13.8" x14ac:dyDescent="0.25">
      <c r="A33" s="78"/>
      <c r="B33" s="229"/>
      <c r="C33" s="486"/>
      <c r="D33" s="486"/>
      <c r="E33" s="486"/>
      <c r="F33" s="483"/>
      <c r="G33" s="483"/>
      <c r="H33" s="541"/>
      <c r="I33" s="541"/>
      <c r="J33" s="228"/>
      <c r="K33" s="78"/>
    </row>
    <row r="34" spans="1:11" ht="13.8" x14ac:dyDescent="0.25">
      <c r="A34" s="78"/>
      <c r="B34" s="229"/>
      <c r="C34" s="486" t="s">
        <v>357</v>
      </c>
      <c r="D34" s="540" t="s">
        <v>356</v>
      </c>
      <c r="E34" s="540"/>
      <c r="F34" s="483">
        <f>Data!B95</f>
        <v>344</v>
      </c>
      <c r="G34" s="483">
        <f>Data!B92</f>
        <v>388</v>
      </c>
      <c r="H34" s="541">
        <v>332</v>
      </c>
      <c r="I34" s="484">
        <v>350</v>
      </c>
      <c r="J34" s="228"/>
      <c r="K34" s="78"/>
    </row>
    <row r="35" spans="1:11" ht="13.8" x14ac:dyDescent="0.25">
      <c r="A35" s="78"/>
      <c r="B35" s="229"/>
      <c r="C35" s="486"/>
      <c r="D35" s="486"/>
      <c r="E35" s="486"/>
      <c r="F35" s="541"/>
      <c r="G35" s="541"/>
      <c r="H35" s="541"/>
      <c r="I35" s="541"/>
      <c r="J35" s="228"/>
      <c r="K35" s="78"/>
    </row>
    <row r="36" spans="1:11" ht="13.8" x14ac:dyDescent="0.25">
      <c r="A36" s="78"/>
      <c r="B36" s="229"/>
      <c r="C36" s="486" t="s">
        <v>852</v>
      </c>
      <c r="D36" s="540" t="s">
        <v>356</v>
      </c>
      <c r="E36" s="540"/>
      <c r="F36" s="484">
        <v>0</v>
      </c>
      <c r="G36" s="484">
        <v>0</v>
      </c>
      <c r="H36" s="484">
        <v>0</v>
      </c>
      <c r="I36" s="545">
        <v>0</v>
      </c>
      <c r="J36" s="228"/>
      <c r="K36" s="78"/>
    </row>
    <row r="37" spans="1:11" ht="13.8" x14ac:dyDescent="0.25">
      <c r="A37" s="78"/>
      <c r="B37" s="229"/>
      <c r="C37" s="486"/>
      <c r="D37" s="486"/>
      <c r="E37" s="486"/>
      <c r="F37" s="541"/>
      <c r="G37" s="541"/>
      <c r="H37" s="541"/>
      <c r="I37" s="541"/>
      <c r="J37" s="228"/>
      <c r="K37" s="78"/>
    </row>
    <row r="38" spans="1:11" ht="13.8" x14ac:dyDescent="0.25">
      <c r="A38" s="78"/>
      <c r="B38" s="229"/>
      <c r="C38" s="486"/>
      <c r="D38" s="486"/>
      <c r="E38" s="486"/>
      <c r="F38" s="541"/>
      <c r="G38" s="541"/>
      <c r="H38" s="541"/>
      <c r="I38" s="541"/>
      <c r="J38" s="228"/>
      <c r="K38" s="78"/>
    </row>
    <row r="39" spans="1:11" ht="14.4" thickBot="1" x14ac:dyDescent="0.3">
      <c r="A39" s="78"/>
      <c r="B39" s="229"/>
      <c r="C39" s="486" t="s">
        <v>358</v>
      </c>
      <c r="D39" s="486"/>
      <c r="E39" s="486"/>
      <c r="F39" s="546">
        <f>SUM(F30:F37)</f>
        <v>36274</v>
      </c>
      <c r="G39" s="546">
        <f>SUM(G30:G37)</f>
        <v>38961</v>
      </c>
      <c r="H39" s="546">
        <f>ROUND(SUM(H30:H37),0)</f>
        <v>32594</v>
      </c>
      <c r="I39" s="546">
        <f>ROUND(SUM(I30:I37),0)</f>
        <v>41636</v>
      </c>
      <c r="J39" s="228"/>
      <c r="K39" s="78"/>
    </row>
    <row r="40" spans="1:11" ht="14.4" thickTop="1" x14ac:dyDescent="0.25">
      <c r="A40" s="78"/>
      <c r="B40" s="229"/>
      <c r="C40" s="486"/>
      <c r="D40" s="486"/>
      <c r="E40" s="486"/>
      <c r="F40" s="486"/>
      <c r="G40" s="486"/>
      <c r="H40" s="486"/>
      <c r="I40" s="486"/>
      <c r="J40" s="228"/>
      <c r="K40" s="78"/>
    </row>
    <row r="41" spans="1:11" x14ac:dyDescent="0.25">
      <c r="A41" s="78"/>
      <c r="B41" s="2465" t="s">
        <v>1232</v>
      </c>
      <c r="C41" s="2360"/>
      <c r="D41" s="2360"/>
      <c r="E41" s="2360"/>
      <c r="F41" s="2360"/>
      <c r="G41" s="2360"/>
      <c r="H41" s="2360"/>
      <c r="I41" s="2360"/>
      <c r="J41" s="2466"/>
      <c r="K41" s="78"/>
    </row>
    <row r="42" spans="1:11" x14ac:dyDescent="0.25">
      <c r="A42" s="78"/>
      <c r="B42" s="2465"/>
      <c r="C42" s="2360"/>
      <c r="D42" s="2360"/>
      <c r="E42" s="2360"/>
      <c r="F42" s="2360"/>
      <c r="G42" s="2360"/>
      <c r="H42" s="2360"/>
      <c r="I42" s="2360"/>
      <c r="J42" s="2466"/>
      <c r="K42" s="78"/>
    </row>
    <row r="43" spans="1:11" x14ac:dyDescent="0.25">
      <c r="A43" s="78"/>
      <c r="B43" s="1838"/>
      <c r="C43" s="2477"/>
      <c r="D43" s="2478"/>
      <c r="E43" s="2478"/>
      <c r="F43" s="2478"/>
      <c r="G43" s="2478"/>
      <c r="H43" s="2478"/>
      <c r="I43" s="2479"/>
      <c r="J43" s="1839"/>
      <c r="K43" s="78"/>
    </row>
    <row r="44" spans="1:11" x14ac:dyDescent="0.25">
      <c r="A44" s="78"/>
      <c r="B44" s="1838"/>
      <c r="C44" s="2480"/>
      <c r="D44" s="2481"/>
      <c r="E44" s="2481"/>
      <c r="F44" s="2481"/>
      <c r="G44" s="2481"/>
      <c r="H44" s="2481"/>
      <c r="I44" s="2482"/>
      <c r="J44" s="1839"/>
      <c r="K44" s="78"/>
    </row>
    <row r="45" spans="1:11" x14ac:dyDescent="0.25">
      <c r="A45" s="78"/>
      <c r="B45" s="1838"/>
      <c r="C45" s="2480"/>
      <c r="D45" s="2481"/>
      <c r="E45" s="2481"/>
      <c r="F45" s="2481"/>
      <c r="G45" s="2481"/>
      <c r="H45" s="2481"/>
      <c r="I45" s="2482"/>
      <c r="J45" s="1839"/>
      <c r="K45" s="78"/>
    </row>
    <row r="46" spans="1:11" x14ac:dyDescent="0.25">
      <c r="A46" s="78"/>
      <c r="B46" s="1838"/>
      <c r="C46" s="2480"/>
      <c r="D46" s="2481"/>
      <c r="E46" s="2481"/>
      <c r="F46" s="2481"/>
      <c r="G46" s="2481"/>
      <c r="H46" s="2481"/>
      <c r="I46" s="2482"/>
      <c r="J46" s="1839"/>
      <c r="K46" s="78"/>
    </row>
    <row r="47" spans="1:11" x14ac:dyDescent="0.25">
      <c r="A47" s="78"/>
      <c r="B47" s="1838"/>
      <c r="C47" s="2480"/>
      <c r="D47" s="2481"/>
      <c r="E47" s="2481"/>
      <c r="F47" s="2481"/>
      <c r="G47" s="2481"/>
      <c r="H47" s="2481"/>
      <c r="I47" s="2482"/>
      <c r="J47" s="1839"/>
      <c r="K47" s="78"/>
    </row>
    <row r="48" spans="1:11" x14ac:dyDescent="0.25">
      <c r="A48" s="78"/>
      <c r="B48" s="1838"/>
      <c r="C48" s="2480"/>
      <c r="D48" s="2481"/>
      <c r="E48" s="2481"/>
      <c r="F48" s="2481"/>
      <c r="G48" s="2481"/>
      <c r="H48" s="2481"/>
      <c r="I48" s="2482"/>
      <c r="J48" s="1839"/>
      <c r="K48" s="78"/>
    </row>
    <row r="49" spans="1:11" x14ac:dyDescent="0.25">
      <c r="A49" s="78"/>
      <c r="B49" s="1838"/>
      <c r="C49" s="2480"/>
      <c r="D49" s="2481"/>
      <c r="E49" s="2481"/>
      <c r="F49" s="2481"/>
      <c r="G49" s="2481"/>
      <c r="H49" s="2481"/>
      <c r="I49" s="2482"/>
      <c r="J49" s="1839"/>
      <c r="K49" s="78"/>
    </row>
    <row r="50" spans="1:11" x14ac:dyDescent="0.25">
      <c r="A50" s="78"/>
      <c r="B50" s="1838"/>
      <c r="C50" s="2480"/>
      <c r="D50" s="2481"/>
      <c r="E50" s="2481"/>
      <c r="F50" s="2481"/>
      <c r="G50" s="2481"/>
      <c r="H50" s="2481"/>
      <c r="I50" s="2482"/>
      <c r="J50" s="1839"/>
      <c r="K50" s="78"/>
    </row>
    <row r="51" spans="1:11" x14ac:dyDescent="0.25">
      <c r="A51" s="78"/>
      <c r="B51" s="229"/>
      <c r="C51" s="2480"/>
      <c r="D51" s="2481"/>
      <c r="E51" s="2481"/>
      <c r="F51" s="2481"/>
      <c r="G51" s="2481"/>
      <c r="H51" s="2481"/>
      <c r="I51" s="2482"/>
      <c r="J51" s="228"/>
      <c r="K51" s="78"/>
    </row>
    <row r="52" spans="1:11" x14ac:dyDescent="0.25">
      <c r="A52" s="78"/>
      <c r="B52" s="229"/>
      <c r="C52" s="2483"/>
      <c r="D52" s="2484"/>
      <c r="E52" s="2484"/>
      <c r="F52" s="2484"/>
      <c r="G52" s="2484"/>
      <c r="H52" s="2484"/>
      <c r="I52" s="2485"/>
      <c r="J52" s="228"/>
      <c r="K52" s="78"/>
    </row>
    <row r="53" spans="1:11" x14ac:dyDescent="0.25">
      <c r="A53" s="78"/>
      <c r="B53" s="229"/>
      <c r="C53" s="205"/>
      <c r="D53" s="205"/>
      <c r="E53" s="205"/>
      <c r="F53" s="205"/>
      <c r="G53" s="205"/>
      <c r="H53" s="205"/>
      <c r="I53" s="205"/>
      <c r="J53" s="228"/>
      <c r="K53" s="78"/>
    </row>
    <row r="54" spans="1:11" ht="13.8" thickBot="1" x14ac:dyDescent="0.3">
      <c r="A54" s="78"/>
      <c r="B54" s="230"/>
      <c r="C54" s="231"/>
      <c r="D54" s="231"/>
      <c r="E54" s="231"/>
      <c r="F54" s="231"/>
      <c r="G54" s="231"/>
      <c r="H54" s="231"/>
      <c r="I54" s="231"/>
      <c r="J54" s="232"/>
      <c r="K54" s="78"/>
    </row>
    <row r="55" spans="1:11" ht="13.8" thickTop="1" x14ac:dyDescent="0.25">
      <c r="A55" s="78"/>
      <c r="B55" s="78"/>
      <c r="C55" s="78"/>
      <c r="D55" s="78"/>
      <c r="E55" s="78"/>
      <c r="F55" s="78"/>
      <c r="G55" s="78"/>
      <c r="H55" s="78"/>
      <c r="I55" s="78"/>
      <c r="J55" s="78"/>
      <c r="K55" s="78"/>
    </row>
    <row r="56" spans="1:11" x14ac:dyDescent="0.25">
      <c r="A56" s="78"/>
      <c r="B56" s="78"/>
      <c r="C56" s="78"/>
      <c r="D56" s="78"/>
      <c r="E56" s="78"/>
      <c r="F56" s="78"/>
      <c r="G56" s="78"/>
      <c r="H56" s="78"/>
      <c r="I56" s="78"/>
      <c r="J56" s="78"/>
      <c r="K56" s="78"/>
    </row>
    <row r="57" spans="1:11" x14ac:dyDescent="0.25">
      <c r="A57" s="78"/>
      <c r="B57" s="78"/>
      <c r="C57" s="78"/>
      <c r="D57" s="78"/>
      <c r="E57" s="78"/>
      <c r="F57" s="78"/>
      <c r="G57" s="78"/>
      <c r="H57" s="78"/>
      <c r="I57" s="78"/>
      <c r="J57" s="78"/>
      <c r="K57" s="78"/>
    </row>
    <row r="58" spans="1:11" x14ac:dyDescent="0.25">
      <c r="A58" s="78"/>
      <c r="B58" s="78"/>
      <c r="C58" s="78"/>
      <c r="D58" s="78"/>
      <c r="E58" s="78"/>
      <c r="F58" s="78"/>
      <c r="G58" s="78"/>
      <c r="H58" s="78"/>
      <c r="I58" s="78"/>
      <c r="J58" s="78"/>
      <c r="K58" s="78"/>
    </row>
    <row r="59" spans="1:11" x14ac:dyDescent="0.25">
      <c r="A59" s="78"/>
      <c r="B59" s="78"/>
      <c r="C59" s="78"/>
      <c r="D59" s="78"/>
      <c r="E59" s="78"/>
      <c r="F59" s="78"/>
      <c r="G59" s="78"/>
      <c r="H59" s="78"/>
      <c r="I59" s="78"/>
      <c r="J59" s="78"/>
      <c r="K59" s="78"/>
    </row>
    <row r="60" spans="1:11" x14ac:dyDescent="0.25">
      <c r="A60" s="57"/>
      <c r="B60" s="57"/>
      <c r="C60" s="57"/>
      <c r="D60" s="57"/>
      <c r="E60" s="57"/>
      <c r="F60" s="57"/>
      <c r="G60" s="57"/>
      <c r="H60" s="57"/>
      <c r="I60" s="57"/>
      <c r="J60" s="57"/>
      <c r="K60" s="57"/>
    </row>
    <row r="61" spans="1:11" s="57" customFormat="1" x14ac:dyDescent="0.25"/>
    <row r="62" spans="1:11" s="57" customFormat="1" x14ac:dyDescent="0.25"/>
    <row r="63" spans="1:11" s="57" customFormat="1" x14ac:dyDescent="0.25"/>
    <row r="64" spans="1:11" s="57" customFormat="1" x14ac:dyDescent="0.25"/>
    <row r="65" s="57" customFormat="1" x14ac:dyDescent="0.25"/>
    <row r="66" s="57" customFormat="1" x14ac:dyDescent="0.25"/>
    <row r="67" s="57" customFormat="1" x14ac:dyDescent="0.25"/>
    <row r="68" s="57" customFormat="1" x14ac:dyDescent="0.25"/>
    <row r="69" s="57" customFormat="1" x14ac:dyDescent="0.25"/>
    <row r="70" s="57" customFormat="1" x14ac:dyDescent="0.25"/>
    <row r="71" s="57" customFormat="1" x14ac:dyDescent="0.25"/>
    <row r="72" s="57" customFormat="1" x14ac:dyDescent="0.25"/>
    <row r="73" s="57" customFormat="1" x14ac:dyDescent="0.25"/>
    <row r="74" s="57" customFormat="1" x14ac:dyDescent="0.25"/>
    <row r="75" s="57" customFormat="1" x14ac:dyDescent="0.25"/>
    <row r="76" s="57" customFormat="1" x14ac:dyDescent="0.25"/>
    <row r="77" s="57" customFormat="1" x14ac:dyDescent="0.25"/>
    <row r="78" s="57" customFormat="1" x14ac:dyDescent="0.25"/>
    <row r="79" s="57" customFormat="1" x14ac:dyDescent="0.25"/>
    <row r="80" s="57" customFormat="1" x14ac:dyDescent="0.25"/>
    <row r="81" s="57" customFormat="1" x14ac:dyDescent="0.25"/>
    <row r="82" s="57" customFormat="1" x14ac:dyDescent="0.25"/>
    <row r="83" s="57" customFormat="1" x14ac:dyDescent="0.25"/>
    <row r="84" s="57" customFormat="1" x14ac:dyDescent="0.25"/>
    <row r="85" s="57" customFormat="1" x14ac:dyDescent="0.25"/>
    <row r="86" s="57" customFormat="1" x14ac:dyDescent="0.25"/>
    <row r="87" s="57" customFormat="1" x14ac:dyDescent="0.25"/>
    <row r="88" s="57" customFormat="1" x14ac:dyDescent="0.25"/>
    <row r="89" s="57" customFormat="1" x14ac:dyDescent="0.25"/>
    <row r="90" s="57" customFormat="1" x14ac:dyDescent="0.25"/>
    <row r="91" s="57" customFormat="1" x14ac:dyDescent="0.25"/>
    <row r="92" s="57" customFormat="1" x14ac:dyDescent="0.25"/>
    <row r="93" s="57" customFormat="1" x14ac:dyDescent="0.25"/>
    <row r="94" s="57" customFormat="1" x14ac:dyDescent="0.25"/>
    <row r="95" s="57" customFormat="1" x14ac:dyDescent="0.25"/>
    <row r="96" s="57" customFormat="1" x14ac:dyDescent="0.25"/>
    <row r="97" s="57" customFormat="1" x14ac:dyDescent="0.25"/>
    <row r="98" s="57" customFormat="1" x14ac:dyDescent="0.25"/>
    <row r="99" s="57" customFormat="1" x14ac:dyDescent="0.25"/>
    <row r="100" s="57" customFormat="1" x14ac:dyDescent="0.25"/>
    <row r="101" s="57" customFormat="1" x14ac:dyDescent="0.25"/>
    <row r="102" s="57" customFormat="1" x14ac:dyDescent="0.25"/>
    <row r="103" s="57" customFormat="1" x14ac:dyDescent="0.25"/>
    <row r="104" s="57" customFormat="1" x14ac:dyDescent="0.25"/>
    <row r="105" s="57" customFormat="1" x14ac:dyDescent="0.25"/>
    <row r="106" s="57" customFormat="1" x14ac:dyDescent="0.25"/>
    <row r="107" s="57" customFormat="1" x14ac:dyDescent="0.25"/>
    <row r="108" s="57" customFormat="1" x14ac:dyDescent="0.25"/>
    <row r="109" s="57" customFormat="1" x14ac:dyDescent="0.25"/>
    <row r="110" s="57" customFormat="1" x14ac:dyDescent="0.25"/>
    <row r="111" s="57" customFormat="1" x14ac:dyDescent="0.25"/>
    <row r="112" s="57" customFormat="1" x14ac:dyDescent="0.25"/>
    <row r="113" s="57" customFormat="1" x14ac:dyDescent="0.25"/>
    <row r="114" s="57" customFormat="1" x14ac:dyDescent="0.25"/>
    <row r="115" s="57" customFormat="1" x14ac:dyDescent="0.25"/>
    <row r="116" s="57" customFormat="1" x14ac:dyDescent="0.25"/>
    <row r="117" s="57" customFormat="1" x14ac:dyDescent="0.25"/>
    <row r="118" s="57" customFormat="1" x14ac:dyDescent="0.25"/>
    <row r="119" s="57" customFormat="1" x14ac:dyDescent="0.25"/>
    <row r="120" s="57" customFormat="1" x14ac:dyDescent="0.25"/>
    <row r="121" s="57" customFormat="1" x14ac:dyDescent="0.25"/>
    <row r="122" s="57" customFormat="1" x14ac:dyDescent="0.25"/>
    <row r="123" s="57" customFormat="1" x14ac:dyDescent="0.25"/>
    <row r="124" s="57" customFormat="1" x14ac:dyDescent="0.25"/>
    <row r="125" s="57" customFormat="1" x14ac:dyDescent="0.25"/>
    <row r="126" s="57" customFormat="1" x14ac:dyDescent="0.25"/>
    <row r="127" s="57" customFormat="1" x14ac:dyDescent="0.25"/>
    <row r="128" s="57" customFormat="1" x14ac:dyDescent="0.25"/>
    <row r="129" s="57" customFormat="1" x14ac:dyDescent="0.25"/>
    <row r="130" s="57" customFormat="1" x14ac:dyDescent="0.25"/>
    <row r="131" s="57" customFormat="1" x14ac:dyDescent="0.25"/>
    <row r="132" s="57" customFormat="1" x14ac:dyDescent="0.25"/>
    <row r="133" s="57" customFormat="1" x14ac:dyDescent="0.25"/>
    <row r="134" s="57" customFormat="1" x14ac:dyDescent="0.25"/>
    <row r="135" s="57" customFormat="1" x14ac:dyDescent="0.25"/>
    <row r="136" s="57" customFormat="1" x14ac:dyDescent="0.25"/>
    <row r="137" s="57" customFormat="1" x14ac:dyDescent="0.25"/>
    <row r="138" s="57" customFormat="1" x14ac:dyDescent="0.25"/>
    <row r="139" s="57" customFormat="1" x14ac:dyDescent="0.25"/>
    <row r="140" s="57" customFormat="1" x14ac:dyDescent="0.25"/>
    <row r="141" s="57" customFormat="1" x14ac:dyDescent="0.25"/>
    <row r="142" s="57" customFormat="1" x14ac:dyDescent="0.25"/>
    <row r="143" s="57" customFormat="1" x14ac:dyDescent="0.25"/>
    <row r="144" s="57" customFormat="1" x14ac:dyDescent="0.25"/>
    <row r="145" s="57" customFormat="1" x14ac:dyDescent="0.25"/>
    <row r="146" s="57" customFormat="1" x14ac:dyDescent="0.25"/>
    <row r="147" s="57" customFormat="1" x14ac:dyDescent="0.25"/>
    <row r="148" s="57" customFormat="1" x14ac:dyDescent="0.25"/>
    <row r="149" s="57" customFormat="1" x14ac:dyDescent="0.25"/>
    <row r="150" s="57" customFormat="1" x14ac:dyDescent="0.25"/>
    <row r="151" s="57" customFormat="1" x14ac:dyDescent="0.25"/>
    <row r="152" s="57" customFormat="1" x14ac:dyDescent="0.25"/>
    <row r="153" s="57" customFormat="1" x14ac:dyDescent="0.25"/>
    <row r="154" s="57" customFormat="1" x14ac:dyDescent="0.25"/>
    <row r="155" s="57" customFormat="1" x14ac:dyDescent="0.25"/>
    <row r="156" s="57" customFormat="1" x14ac:dyDescent="0.25"/>
    <row r="157" s="57" customFormat="1" x14ac:dyDescent="0.25"/>
    <row r="158" s="57" customFormat="1" x14ac:dyDescent="0.25"/>
    <row r="159" s="57" customFormat="1" x14ac:dyDescent="0.25"/>
    <row r="160" s="57" customFormat="1" x14ac:dyDescent="0.25"/>
    <row r="161" s="57" customFormat="1" x14ac:dyDescent="0.25"/>
    <row r="162" s="57" customFormat="1" x14ac:dyDescent="0.25"/>
    <row r="163" s="57" customFormat="1" x14ac:dyDescent="0.25"/>
    <row r="164" s="57" customFormat="1" x14ac:dyDescent="0.25"/>
    <row r="165" s="57" customFormat="1" x14ac:dyDescent="0.25"/>
    <row r="166" s="57" customFormat="1" x14ac:dyDescent="0.25"/>
    <row r="167" s="57" customFormat="1" x14ac:dyDescent="0.25"/>
    <row r="168" s="57" customFormat="1" x14ac:dyDescent="0.25"/>
    <row r="169" s="57" customFormat="1" x14ac:dyDescent="0.25"/>
    <row r="170" s="57" customFormat="1" x14ac:dyDescent="0.25"/>
    <row r="171" s="57" customFormat="1" x14ac:dyDescent="0.25"/>
    <row r="172" s="57" customFormat="1" x14ac:dyDescent="0.25"/>
    <row r="173" s="57" customFormat="1" x14ac:dyDescent="0.25"/>
    <row r="174" s="57" customFormat="1" x14ac:dyDescent="0.25"/>
    <row r="175" s="57" customFormat="1" x14ac:dyDescent="0.25"/>
    <row r="176" s="57" customFormat="1" x14ac:dyDescent="0.25"/>
    <row r="177" s="57" customFormat="1" x14ac:dyDescent="0.25"/>
    <row r="178" s="57" customFormat="1" x14ac:dyDescent="0.25"/>
    <row r="179" s="57" customFormat="1" x14ac:dyDescent="0.25"/>
    <row r="180" s="57" customFormat="1" x14ac:dyDescent="0.25"/>
    <row r="181" s="57" customFormat="1" x14ac:dyDescent="0.25"/>
    <row r="182" s="57" customFormat="1" x14ac:dyDescent="0.25"/>
    <row r="183" s="57" customFormat="1" x14ac:dyDescent="0.25"/>
    <row r="184" s="57" customFormat="1" x14ac:dyDescent="0.25"/>
    <row r="185" s="57" customFormat="1" x14ac:dyDescent="0.25"/>
    <row r="186" s="57" customFormat="1" x14ac:dyDescent="0.25"/>
    <row r="187" s="57" customFormat="1" x14ac:dyDescent="0.25"/>
    <row r="188" s="57" customFormat="1" x14ac:dyDescent="0.25"/>
    <row r="189" s="57" customFormat="1" x14ac:dyDescent="0.25"/>
    <row r="190" s="57" customFormat="1" x14ac:dyDescent="0.25"/>
    <row r="191" s="57" customFormat="1" x14ac:dyDescent="0.25"/>
    <row r="192" s="57" customFormat="1" x14ac:dyDescent="0.25"/>
    <row r="193" s="57" customFormat="1" x14ac:dyDescent="0.25"/>
    <row r="194" s="57" customFormat="1" x14ac:dyDescent="0.25"/>
    <row r="195" s="57" customFormat="1" x14ac:dyDescent="0.25"/>
    <row r="196" s="57" customFormat="1" x14ac:dyDescent="0.25"/>
    <row r="197" s="57" customFormat="1" x14ac:dyDescent="0.25"/>
    <row r="198" s="57" customFormat="1" x14ac:dyDescent="0.25"/>
    <row r="199" s="57" customFormat="1" x14ac:dyDescent="0.25"/>
    <row r="200" s="57" customFormat="1" x14ac:dyDescent="0.25"/>
    <row r="201" s="57" customFormat="1" x14ac:dyDescent="0.25"/>
    <row r="202" s="57" customFormat="1" x14ac:dyDescent="0.25"/>
    <row r="203" s="57" customFormat="1" x14ac:dyDescent="0.25"/>
    <row r="204" s="57" customFormat="1" x14ac:dyDescent="0.25"/>
    <row r="205" s="57" customFormat="1" x14ac:dyDescent="0.25"/>
    <row r="206" s="57" customFormat="1" x14ac:dyDescent="0.25"/>
    <row r="207" s="57" customFormat="1" x14ac:dyDescent="0.25"/>
    <row r="208" s="57" customFormat="1" x14ac:dyDescent="0.25"/>
    <row r="209" s="57" customFormat="1" x14ac:dyDescent="0.25"/>
    <row r="210" s="57" customFormat="1" x14ac:dyDescent="0.25"/>
    <row r="211" s="57" customFormat="1" x14ac:dyDescent="0.25"/>
    <row r="212" s="57" customFormat="1" x14ac:dyDescent="0.25"/>
    <row r="213" s="57" customFormat="1" x14ac:dyDescent="0.25"/>
    <row r="214" s="57" customFormat="1" x14ac:dyDescent="0.25"/>
    <row r="215" s="57" customFormat="1" x14ac:dyDescent="0.25"/>
    <row r="216" s="57" customFormat="1" x14ac:dyDescent="0.25"/>
    <row r="217" s="57" customFormat="1" x14ac:dyDescent="0.25"/>
    <row r="218" s="57" customFormat="1" x14ac:dyDescent="0.25"/>
    <row r="219" s="57" customFormat="1" x14ac:dyDescent="0.25"/>
    <row r="220" s="57" customFormat="1" x14ac:dyDescent="0.25"/>
    <row r="221" s="57" customFormat="1" x14ac:dyDescent="0.25"/>
    <row r="222" s="57" customFormat="1" x14ac:dyDescent="0.25"/>
    <row r="223" s="57" customFormat="1" x14ac:dyDescent="0.25"/>
    <row r="224" s="57" customFormat="1" x14ac:dyDescent="0.25"/>
    <row r="225" s="57" customFormat="1" x14ac:dyDescent="0.25"/>
    <row r="226" s="57" customFormat="1" x14ac:dyDescent="0.25"/>
    <row r="227" s="57" customFormat="1" x14ac:dyDescent="0.25"/>
    <row r="228" s="57" customFormat="1" x14ac:dyDescent="0.25"/>
    <row r="229" s="57" customFormat="1" x14ac:dyDescent="0.25"/>
    <row r="230" s="57" customFormat="1" x14ac:dyDescent="0.25"/>
    <row r="231" s="57" customFormat="1" x14ac:dyDescent="0.25"/>
    <row r="232" s="57" customFormat="1" x14ac:dyDescent="0.25"/>
    <row r="233" s="57" customFormat="1" x14ac:dyDescent="0.25"/>
    <row r="234" s="57" customFormat="1" x14ac:dyDescent="0.25"/>
    <row r="235" s="57" customFormat="1" x14ac:dyDescent="0.25"/>
    <row r="236" s="57" customFormat="1" x14ac:dyDescent="0.25"/>
    <row r="237" s="57" customFormat="1" x14ac:dyDescent="0.25"/>
    <row r="238" s="57" customFormat="1" x14ac:dyDescent="0.25"/>
    <row r="239" s="57" customFormat="1" x14ac:dyDescent="0.25"/>
    <row r="240" s="57" customFormat="1" x14ac:dyDescent="0.25"/>
    <row r="241" s="57" customFormat="1" x14ac:dyDescent="0.25"/>
    <row r="242" s="57" customFormat="1" x14ac:dyDescent="0.25"/>
    <row r="243" s="57" customFormat="1" x14ac:dyDescent="0.25"/>
    <row r="244" s="57" customFormat="1" x14ac:dyDescent="0.25"/>
    <row r="245" s="57" customFormat="1" x14ac:dyDescent="0.25"/>
    <row r="246" s="57" customFormat="1" x14ac:dyDescent="0.25"/>
    <row r="247" s="57" customFormat="1" x14ac:dyDescent="0.25"/>
    <row r="248" s="57" customFormat="1" x14ac:dyDescent="0.25"/>
    <row r="249" s="57" customFormat="1" x14ac:dyDescent="0.25"/>
    <row r="250" s="57" customFormat="1" x14ac:dyDescent="0.25"/>
    <row r="251" s="57" customFormat="1" x14ac:dyDescent="0.25"/>
    <row r="252" s="57" customFormat="1" x14ac:dyDescent="0.25"/>
    <row r="253" s="57" customFormat="1" x14ac:dyDescent="0.25"/>
    <row r="254" s="57" customFormat="1" x14ac:dyDescent="0.25"/>
    <row r="255" s="57" customFormat="1" x14ac:dyDescent="0.25"/>
    <row r="256" s="57" customFormat="1" x14ac:dyDescent="0.25"/>
    <row r="257" s="57" customFormat="1" x14ac:dyDescent="0.25"/>
    <row r="258" s="57" customFormat="1" x14ac:dyDescent="0.25"/>
    <row r="259" s="57" customFormat="1" x14ac:dyDescent="0.25"/>
    <row r="260" s="57" customFormat="1" x14ac:dyDescent="0.25"/>
    <row r="261" s="57" customFormat="1" x14ac:dyDescent="0.25"/>
    <row r="262" s="57" customFormat="1" x14ac:dyDescent="0.25"/>
    <row r="263" s="57" customFormat="1" x14ac:dyDescent="0.25"/>
    <row r="264" s="57" customFormat="1" x14ac:dyDescent="0.25"/>
    <row r="265" s="57" customFormat="1" x14ac:dyDescent="0.25"/>
    <row r="266" s="57" customFormat="1" x14ac:dyDescent="0.25"/>
    <row r="267" s="57" customFormat="1" x14ac:dyDescent="0.25"/>
    <row r="268" s="57" customFormat="1" x14ac:dyDescent="0.25"/>
    <row r="269" s="57" customFormat="1" x14ac:dyDescent="0.25"/>
    <row r="270" s="57" customFormat="1" x14ac:dyDescent="0.25"/>
    <row r="271" s="57" customFormat="1" x14ac:dyDescent="0.25"/>
    <row r="272" s="57" customFormat="1" x14ac:dyDescent="0.25"/>
    <row r="273" s="57" customFormat="1" x14ac:dyDescent="0.25"/>
    <row r="274" s="57" customFormat="1" x14ac:dyDescent="0.25"/>
    <row r="275" s="57" customFormat="1" x14ac:dyDescent="0.25"/>
    <row r="276" s="57" customFormat="1" x14ac:dyDescent="0.25"/>
    <row r="277" s="57" customFormat="1" x14ac:dyDescent="0.25"/>
    <row r="278" s="57" customFormat="1" x14ac:dyDescent="0.25"/>
    <row r="279" s="57" customFormat="1" x14ac:dyDescent="0.25"/>
    <row r="280" s="57" customFormat="1" x14ac:dyDescent="0.25"/>
    <row r="281" s="57" customFormat="1" x14ac:dyDescent="0.25"/>
    <row r="282" s="57" customFormat="1" x14ac:dyDescent="0.25"/>
    <row r="283" s="57" customFormat="1" x14ac:dyDescent="0.25"/>
    <row r="284" s="57" customFormat="1" x14ac:dyDescent="0.25"/>
    <row r="285" s="57" customFormat="1" x14ac:dyDescent="0.25"/>
    <row r="286" s="57" customFormat="1" x14ac:dyDescent="0.25"/>
    <row r="287" s="57" customFormat="1" x14ac:dyDescent="0.25"/>
    <row r="288" s="57" customFormat="1" x14ac:dyDescent="0.25"/>
    <row r="289" s="57" customFormat="1" x14ac:dyDescent="0.25"/>
    <row r="290" s="57" customFormat="1" x14ac:dyDescent="0.25"/>
    <row r="291" s="57" customFormat="1" x14ac:dyDescent="0.25"/>
    <row r="292" s="57" customFormat="1" x14ac:dyDescent="0.25"/>
    <row r="293" s="57" customFormat="1" x14ac:dyDescent="0.25"/>
    <row r="294" s="57" customFormat="1" x14ac:dyDescent="0.25"/>
    <row r="295" s="57" customFormat="1" x14ac:dyDescent="0.25"/>
    <row r="296" s="57" customFormat="1" x14ac:dyDescent="0.25"/>
    <row r="297" s="57" customFormat="1" x14ac:dyDescent="0.25"/>
    <row r="298" s="57" customFormat="1" x14ac:dyDescent="0.25"/>
    <row r="299" s="57" customFormat="1" x14ac:dyDescent="0.25"/>
    <row r="300" s="57" customFormat="1" x14ac:dyDescent="0.25"/>
  </sheetData>
  <sheetProtection password="E593" sheet="1" objects="1" scenarios="1"/>
  <customSheetViews>
    <customSheetView guid="{B63065A1-7838-417A-8679-08A8A2B79CD8}" scale="85" showPageBreaks="1" showGridLines="0" fitToPage="1" printArea="1" topLeftCell="A10">
      <selection activeCell="H34" sqref="H34"/>
      <rowBreaks count="1" manualBreakCount="1">
        <brk id="35" max="65535" man="1"/>
      </rowBreaks>
      <pageMargins left="0" right="0" top="1" bottom="0" header="0" footer="0"/>
      <printOptions horizontalCentered="1"/>
      <pageSetup scale="89" orientation="landscape" blackAndWhite="1" r:id="rId1"/>
      <headerFooter alignWithMargins="0"/>
    </customSheetView>
  </customSheetViews>
  <mergeCells count="7">
    <mergeCell ref="B3:J3"/>
    <mergeCell ref="B5:J5"/>
    <mergeCell ref="B6:J6"/>
    <mergeCell ref="B41:J42"/>
    <mergeCell ref="C43:I52"/>
    <mergeCell ref="C7:I7"/>
    <mergeCell ref="C8:I8"/>
  </mergeCells>
  <conditionalFormatting sqref="H34 H32">
    <cfRule type="expression" dxfId="19" priority="1" stopIfTrue="1">
      <formula>$H$21="Estimated"</formula>
    </cfRule>
  </conditionalFormatting>
  <dataValidations disablePrompts="1" count="1">
    <dataValidation allowBlank="1" showInputMessage="1" showErrorMessage="1" error="Enter only a number" prompt="Use numbers only.  Do not use a % sign or any other text in this box. " sqref="I19"/>
  </dataValidations>
  <printOptions horizontalCentered="1"/>
  <pageMargins left="0" right="0" top="1" bottom="0" header="0" footer="0"/>
  <pageSetup scale="69" orientation="landscape" blackAndWhite="1" r:id="rId2"/>
  <headerFooter alignWithMargins="0"/>
  <rowBreaks count="1" manualBreakCount="1">
    <brk id="35"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13313" r:id="rId5" name="Button 1">
              <controlPr defaultSize="0" print="0" autoFill="0" autoPict="0" macro="[0]!BackMain">
                <anchor moveWithCells="1" sizeWithCells="1">
                  <from>
                    <xdr:col>0</xdr:col>
                    <xdr:colOff>579120</xdr:colOff>
                    <xdr:row>3</xdr:row>
                    <xdr:rowOff>22860</xdr:rowOff>
                  </from>
                  <to>
                    <xdr:col>2</xdr:col>
                    <xdr:colOff>381000</xdr:colOff>
                    <xdr:row>5</xdr:row>
                    <xdr:rowOff>60960</xdr:rowOff>
                  </to>
                </anchor>
              </controlPr>
            </control>
          </mc:Choice>
        </mc:AlternateContent>
        <mc:AlternateContent xmlns:mc="http://schemas.openxmlformats.org/markup-compatibility/2006">
          <mc:Choice Requires="x14">
            <control shapeId="13314" r:id="rId6" name="Button 2">
              <controlPr defaultSize="0" print="0" autoFill="0" autoPict="0" macro="[0]!BackMain">
                <anchor moveWithCells="1" sizeWithCells="1">
                  <from>
                    <xdr:col>8</xdr:col>
                    <xdr:colOff>830580</xdr:colOff>
                    <xdr:row>54</xdr:row>
                    <xdr:rowOff>114300</xdr:rowOff>
                  </from>
                  <to>
                    <xdr:col>10</xdr:col>
                    <xdr:colOff>22860</xdr:colOff>
                    <xdr:row>57</xdr:row>
                    <xdr:rowOff>76200</xdr:rowOff>
                  </to>
                </anchor>
              </controlPr>
            </control>
          </mc:Choice>
        </mc:AlternateContent>
        <mc:AlternateContent xmlns:mc="http://schemas.openxmlformats.org/markup-compatibility/2006">
          <mc:Choice Requires="x14">
            <control shapeId="13315" r:id="rId7" name="Button 3">
              <controlPr defaultSize="0" print="0" autoFill="0" autoPict="0" macro="[0]!PrintAttach8">
                <anchor moveWithCells="1" sizeWithCells="1">
                  <from>
                    <xdr:col>8</xdr:col>
                    <xdr:colOff>281940</xdr:colOff>
                    <xdr:row>3</xdr:row>
                    <xdr:rowOff>91440</xdr:rowOff>
                  </from>
                  <to>
                    <xdr:col>10</xdr:col>
                    <xdr:colOff>7620</xdr:colOff>
                    <xdr:row>5</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E281"/>
  <sheetViews>
    <sheetView workbookViewId="0">
      <selection activeCell="E10" sqref="E10"/>
    </sheetView>
  </sheetViews>
  <sheetFormatPr defaultRowHeight="13.2" x14ac:dyDescent="0.25"/>
  <cols>
    <col min="1" max="1" width="11.109375" style="3" bestFit="1" customWidth="1"/>
    <col min="2" max="2" width="13.6640625" style="4" customWidth="1"/>
    <col min="3" max="3" width="12.33203125" style="1" customWidth="1"/>
    <col min="4" max="5" width="9.109375" style="1" customWidth="1"/>
    <col min="6" max="6" width="10.109375" style="1" bestFit="1" customWidth="1"/>
    <col min="7" max="7" width="11.6640625" style="1" bestFit="1" customWidth="1"/>
    <col min="8" max="8" width="10.33203125" style="1" customWidth="1"/>
    <col min="9" max="11" width="9.109375" style="1" customWidth="1"/>
    <col min="12" max="12" width="12.6640625" style="1" customWidth="1"/>
    <col min="13" max="13" width="9.109375" style="1" customWidth="1"/>
    <col min="14" max="14" width="8.88671875" style="1" customWidth="1"/>
    <col min="15" max="15" width="22.33203125" style="1" bestFit="1" customWidth="1"/>
    <col min="16" max="24" width="8.88671875" style="1" customWidth="1"/>
    <col min="25" max="16384" width="8.88671875" style="1"/>
  </cols>
  <sheetData>
    <row r="1" spans="1:24" ht="14.4" x14ac:dyDescent="0.3">
      <c r="A1" t="s">
        <v>1396</v>
      </c>
      <c r="B1">
        <v>2019</v>
      </c>
      <c r="C1">
        <v>2020</v>
      </c>
      <c r="D1">
        <v>2021</v>
      </c>
      <c r="E1">
        <v>2022</v>
      </c>
      <c r="F1">
        <v>1180</v>
      </c>
      <c r="G1" t="s">
        <v>1392</v>
      </c>
      <c r="H1" t="s">
        <v>1393</v>
      </c>
      <c r="I1"/>
      <c r="J1"/>
      <c r="K1"/>
      <c r="L1"/>
      <c r="M1"/>
      <c r="N1"/>
      <c r="O1"/>
      <c r="P1"/>
      <c r="Q1"/>
      <c r="R1"/>
      <c r="S1"/>
      <c r="T1"/>
      <c r="X1" s="1">
        <v>2019</v>
      </c>
    </row>
    <row r="2" spans="1:24" ht="14.4" x14ac:dyDescent="0.3">
      <c r="A2" t="s">
        <v>1397</v>
      </c>
      <c r="B2">
        <v>0</v>
      </c>
      <c r="C2">
        <v>0</v>
      </c>
      <c r="D2">
        <v>0</v>
      </c>
      <c r="E2">
        <v>0</v>
      </c>
      <c r="F2"/>
      <c r="G2" t="s">
        <v>1394</v>
      </c>
      <c r="H2">
        <v>1180</v>
      </c>
      <c r="I2"/>
      <c r="J2"/>
      <c r="K2"/>
      <c r="L2"/>
      <c r="M2"/>
      <c r="N2"/>
      <c r="O2"/>
      <c r="P2"/>
      <c r="Q2"/>
      <c r="R2"/>
      <c r="S2"/>
      <c r="T2"/>
      <c r="X2" s="1">
        <v>2020</v>
      </c>
    </row>
    <row r="3" spans="1:24" ht="14.4" x14ac:dyDescent="0.3">
      <c r="A3" t="s">
        <v>1398</v>
      </c>
      <c r="B3">
        <v>0</v>
      </c>
      <c r="C3">
        <v>0</v>
      </c>
      <c r="D3">
        <v>0</v>
      </c>
      <c r="E3">
        <v>0</v>
      </c>
      <c r="F3"/>
      <c r="G3" t="s">
        <v>6</v>
      </c>
      <c r="H3">
        <v>2023</v>
      </c>
      <c r="I3"/>
      <c r="J3"/>
      <c r="K3"/>
      <c r="L3"/>
      <c r="M3"/>
      <c r="N3"/>
      <c r="O3"/>
      <c r="P3"/>
      <c r="Q3"/>
      <c r="R3"/>
      <c r="S3"/>
      <c r="T3"/>
      <c r="X3" s="1">
        <v>2021</v>
      </c>
    </row>
    <row r="4" spans="1:24" ht="14.4" x14ac:dyDescent="0.3">
      <c r="A4" t="s">
        <v>1399</v>
      </c>
      <c r="B4">
        <v>2108</v>
      </c>
      <c r="C4">
        <v>0</v>
      </c>
      <c r="D4">
        <v>0</v>
      </c>
      <c r="E4">
        <v>0</v>
      </c>
      <c r="F4"/>
      <c r="G4" t="s">
        <v>7</v>
      </c>
      <c r="H4" t="s">
        <v>1391</v>
      </c>
      <c r="I4"/>
      <c r="J4"/>
      <c r="K4"/>
      <c r="L4"/>
      <c r="M4"/>
      <c r="N4"/>
      <c r="O4"/>
      <c r="P4"/>
      <c r="Q4"/>
      <c r="R4"/>
      <c r="S4"/>
      <c r="T4"/>
    </row>
    <row r="5" spans="1:24" ht="14.4" x14ac:dyDescent="0.3">
      <c r="A5" t="s">
        <v>1400</v>
      </c>
      <c r="B5">
        <v>0</v>
      </c>
      <c r="C5">
        <v>0</v>
      </c>
      <c r="D5">
        <v>0</v>
      </c>
      <c r="E5">
        <v>0</v>
      </c>
      <c r="F5"/>
      <c r="G5" t="s">
        <v>1395</v>
      </c>
      <c r="H5" t="s">
        <v>492</v>
      </c>
      <c r="I5"/>
      <c r="J5"/>
      <c r="K5"/>
      <c r="L5"/>
      <c r="M5"/>
      <c r="N5"/>
      <c r="O5"/>
      <c r="P5"/>
      <c r="Q5"/>
      <c r="R5"/>
      <c r="S5"/>
      <c r="T5"/>
    </row>
    <row r="6" spans="1:24" ht="14.4" x14ac:dyDescent="0.3">
      <c r="A6" t="s">
        <v>1246</v>
      </c>
      <c r="B6">
        <v>187281</v>
      </c>
      <c r="C6">
        <v>196940</v>
      </c>
      <c r="D6">
        <v>201389</v>
      </c>
      <c r="E6">
        <v>0</v>
      </c>
      <c r="F6"/>
      <c r="G6"/>
      <c r="H6"/>
      <c r="I6"/>
      <c r="J6"/>
      <c r="K6"/>
      <c r="L6"/>
      <c r="M6"/>
      <c r="N6"/>
      <c r="O6"/>
      <c r="P6"/>
      <c r="Q6"/>
      <c r="R6"/>
      <c r="S6"/>
      <c r="T6"/>
    </row>
    <row r="7" spans="1:24" ht="14.4" x14ac:dyDescent="0.3">
      <c r="A7" t="s">
        <v>1247</v>
      </c>
      <c r="B7">
        <v>9410</v>
      </c>
      <c r="C7">
        <v>8781</v>
      </c>
      <c r="D7">
        <v>10632</v>
      </c>
      <c r="E7">
        <v>0</v>
      </c>
      <c r="F7"/>
      <c r="G7"/>
      <c r="H7"/>
      <c r="I7"/>
      <c r="J7"/>
      <c r="K7"/>
      <c r="L7"/>
      <c r="M7"/>
      <c r="N7"/>
      <c r="O7"/>
      <c r="P7"/>
      <c r="Q7"/>
      <c r="R7"/>
      <c r="S7"/>
      <c r="T7"/>
    </row>
    <row r="8" spans="1:24" ht="14.4" x14ac:dyDescent="0.3">
      <c r="A8" t="s">
        <v>1249</v>
      </c>
      <c r="B8">
        <v>7497</v>
      </c>
      <c r="C8">
        <v>6390</v>
      </c>
      <c r="D8">
        <v>7986</v>
      </c>
      <c r="E8">
        <v>0</v>
      </c>
      <c r="F8"/>
      <c r="G8"/>
      <c r="H8"/>
      <c r="I8"/>
      <c r="J8"/>
      <c r="K8"/>
      <c r="L8"/>
      <c r="M8"/>
      <c r="N8"/>
      <c r="O8"/>
      <c r="P8"/>
      <c r="Q8"/>
      <c r="R8"/>
      <c r="S8"/>
      <c r="T8"/>
    </row>
    <row r="9" spans="1:24" ht="14.4" x14ac:dyDescent="0.3">
      <c r="A9" t="s">
        <v>1250</v>
      </c>
      <c r="B9">
        <v>14692</v>
      </c>
      <c r="C9">
        <v>13255</v>
      </c>
      <c r="D9">
        <v>13882</v>
      </c>
      <c r="E9">
        <v>0</v>
      </c>
      <c r="F9"/>
      <c r="G9" t="s">
        <v>1396</v>
      </c>
      <c r="H9">
        <v>2019</v>
      </c>
      <c r="I9">
        <v>2020</v>
      </c>
      <c r="J9">
        <v>2021</v>
      </c>
      <c r="K9">
        <v>2022</v>
      </c>
      <c r="L9"/>
      <c r="M9"/>
      <c r="N9"/>
      <c r="O9"/>
      <c r="P9"/>
      <c r="Q9"/>
      <c r="R9"/>
      <c r="S9"/>
      <c r="T9"/>
    </row>
    <row r="10" spans="1:24" ht="14.4" x14ac:dyDescent="0.3">
      <c r="A10" t="s">
        <v>1401</v>
      </c>
      <c r="B10">
        <v>1512</v>
      </c>
      <c r="C10">
        <v>1512</v>
      </c>
      <c r="D10">
        <v>1512</v>
      </c>
      <c r="E10">
        <v>0</v>
      </c>
      <c r="F10"/>
      <c r="G10" t="s">
        <v>1410</v>
      </c>
      <c r="H10">
        <v>0</v>
      </c>
      <c r="I10">
        <v>0</v>
      </c>
      <c r="J10">
        <v>0</v>
      </c>
      <c r="K10">
        <v>0</v>
      </c>
      <c r="L10"/>
      <c r="M10"/>
      <c r="N10"/>
      <c r="O10"/>
      <c r="P10"/>
      <c r="Q10"/>
      <c r="R10"/>
      <c r="S10"/>
      <c r="T10"/>
    </row>
    <row r="11" spans="1:24" ht="14.4" x14ac:dyDescent="0.3">
      <c r="A11" t="s">
        <v>1402</v>
      </c>
      <c r="B11">
        <v>90875</v>
      </c>
      <c r="C11">
        <v>93437</v>
      </c>
      <c r="D11">
        <v>96645</v>
      </c>
      <c r="E11">
        <v>0</v>
      </c>
      <c r="F11"/>
      <c r="G11" t="s">
        <v>1411</v>
      </c>
      <c r="H11">
        <v>0</v>
      </c>
      <c r="I11">
        <v>0</v>
      </c>
      <c r="J11">
        <v>0</v>
      </c>
      <c r="K11">
        <v>0</v>
      </c>
      <c r="L11"/>
      <c r="M11"/>
      <c r="N11"/>
      <c r="O11"/>
      <c r="P11"/>
      <c r="Q11"/>
      <c r="R11"/>
      <c r="S11"/>
      <c r="T11"/>
    </row>
    <row r="12" spans="1:24" ht="14.4" x14ac:dyDescent="0.3">
      <c r="A12" t="s">
        <v>1403</v>
      </c>
      <c r="B12">
        <v>0</v>
      </c>
      <c r="C12">
        <v>0</v>
      </c>
      <c r="D12">
        <v>0</v>
      </c>
      <c r="E12">
        <v>0</v>
      </c>
      <c r="F12"/>
      <c r="G12" t="s">
        <v>1251</v>
      </c>
      <c r="H12">
        <v>4585</v>
      </c>
      <c r="I12">
        <v>5181</v>
      </c>
      <c r="J12">
        <v>5609</v>
      </c>
      <c r="K12">
        <v>0</v>
      </c>
      <c r="L12"/>
      <c r="M12"/>
      <c r="N12"/>
      <c r="O12"/>
      <c r="P12"/>
      <c r="Q12"/>
      <c r="R12"/>
      <c r="S12"/>
      <c r="T12"/>
    </row>
    <row r="13" spans="1:24" ht="14.4" x14ac:dyDescent="0.3">
      <c r="A13" t="s">
        <v>1404</v>
      </c>
      <c r="B13">
        <v>0</v>
      </c>
      <c r="C13">
        <v>0</v>
      </c>
      <c r="D13">
        <v>0</v>
      </c>
      <c r="E13">
        <v>0</v>
      </c>
      <c r="F13"/>
      <c r="G13" t="s">
        <v>1252</v>
      </c>
      <c r="H13">
        <v>0</v>
      </c>
      <c r="I13">
        <v>0</v>
      </c>
      <c r="J13">
        <v>0</v>
      </c>
      <c r="K13">
        <v>0</v>
      </c>
      <c r="L13"/>
      <c r="M13"/>
      <c r="N13"/>
      <c r="O13"/>
      <c r="P13"/>
      <c r="Q13"/>
      <c r="R13"/>
      <c r="S13"/>
      <c r="T13"/>
    </row>
    <row r="14" spans="1:24" ht="14.4" x14ac:dyDescent="0.3">
      <c r="A14" t="s">
        <v>1405</v>
      </c>
      <c r="B14">
        <v>0</v>
      </c>
      <c r="C14">
        <v>0</v>
      </c>
      <c r="D14">
        <v>0</v>
      </c>
      <c r="E14">
        <v>0</v>
      </c>
      <c r="F14"/>
      <c r="G14"/>
      <c r="H14"/>
      <c r="I14"/>
      <c r="J14"/>
      <c r="K14"/>
      <c r="L14"/>
      <c r="M14"/>
      <c r="N14"/>
      <c r="O14"/>
      <c r="P14"/>
      <c r="Q14"/>
      <c r="R14"/>
      <c r="S14"/>
      <c r="T14"/>
    </row>
    <row r="15" spans="1:24" ht="14.4" x14ac:dyDescent="0.3">
      <c r="A15" t="s">
        <v>1406</v>
      </c>
      <c r="B15">
        <v>773</v>
      </c>
      <c r="C15">
        <v>883</v>
      </c>
      <c r="D15">
        <v>1717</v>
      </c>
      <c r="E15">
        <v>0</v>
      </c>
      <c r="F15"/>
      <c r="G15"/>
      <c r="H15"/>
      <c r="I15"/>
      <c r="J15"/>
      <c r="K15"/>
      <c r="L15"/>
      <c r="M15"/>
      <c r="N15"/>
      <c r="O15"/>
      <c r="P15"/>
      <c r="Q15"/>
      <c r="R15"/>
      <c r="S15"/>
      <c r="T15"/>
    </row>
    <row r="16" spans="1:24" ht="14.4" x14ac:dyDescent="0.3">
      <c r="A16" t="s">
        <v>1407</v>
      </c>
      <c r="B16">
        <v>2069</v>
      </c>
      <c r="C16">
        <v>2231</v>
      </c>
      <c r="D16">
        <v>2788</v>
      </c>
      <c r="E16">
        <v>0</v>
      </c>
      <c r="F16"/>
      <c r="G16"/>
      <c r="H16"/>
      <c r="I16"/>
      <c r="J16"/>
      <c r="K16"/>
      <c r="L16"/>
      <c r="M16"/>
      <c r="N16"/>
      <c r="O16"/>
      <c r="P16"/>
      <c r="Q16"/>
      <c r="R16"/>
      <c r="S16"/>
      <c r="T16"/>
    </row>
    <row r="17" spans="1:20" ht="14.4" x14ac:dyDescent="0.3">
      <c r="A17" t="s">
        <v>1408</v>
      </c>
      <c r="B17">
        <v>0</v>
      </c>
      <c r="C17">
        <v>0</v>
      </c>
      <c r="D17">
        <v>0</v>
      </c>
      <c r="E17">
        <v>0</v>
      </c>
      <c r="F17"/>
      <c r="G17"/>
      <c r="H17"/>
      <c r="I17"/>
      <c r="J17"/>
      <c r="K17"/>
      <c r="L17"/>
      <c r="M17"/>
      <c r="N17"/>
      <c r="O17"/>
      <c r="P17"/>
      <c r="Q17"/>
      <c r="R17"/>
      <c r="S17"/>
      <c r="T17"/>
    </row>
    <row r="18" spans="1:20" ht="14.4" x14ac:dyDescent="0.3">
      <c r="A18" t="s">
        <v>1409</v>
      </c>
      <c r="B18">
        <v>3873</v>
      </c>
      <c r="C18">
        <v>2691</v>
      </c>
      <c r="D18">
        <v>1934</v>
      </c>
      <c r="E18">
        <v>0</v>
      </c>
      <c r="F18"/>
      <c r="G18"/>
      <c r="H18"/>
      <c r="I18"/>
      <c r="J18"/>
      <c r="K18"/>
      <c r="L18"/>
      <c r="M18"/>
      <c r="N18"/>
      <c r="O18"/>
      <c r="P18"/>
      <c r="Q18"/>
      <c r="R18"/>
      <c r="S18"/>
      <c r="T18"/>
    </row>
    <row r="19" spans="1:20" ht="14.4" x14ac:dyDescent="0.3">
      <c r="A19"/>
      <c r="B19"/>
      <c r="C19"/>
      <c r="D19"/>
      <c r="E19"/>
      <c r="F19"/>
      <c r="G19"/>
      <c r="H19"/>
      <c r="I19"/>
      <c r="J19"/>
      <c r="K19"/>
      <c r="L19"/>
      <c r="M19"/>
      <c r="N19"/>
      <c r="O19"/>
      <c r="P19"/>
      <c r="Q19"/>
      <c r="R19"/>
      <c r="S19"/>
      <c r="T19"/>
    </row>
    <row r="20" spans="1:20" ht="14.4" x14ac:dyDescent="0.3">
      <c r="A20" t="s">
        <v>1423</v>
      </c>
      <c r="B20">
        <v>2019</v>
      </c>
      <c r="C20">
        <v>2020</v>
      </c>
      <c r="D20">
        <v>2021</v>
      </c>
      <c r="E20">
        <v>2022</v>
      </c>
      <c r="F20"/>
      <c r="G20"/>
      <c r="H20"/>
      <c r="I20"/>
      <c r="J20"/>
      <c r="K20"/>
      <c r="L20"/>
      <c r="M20"/>
      <c r="N20"/>
      <c r="O20"/>
      <c r="P20"/>
      <c r="Q20"/>
      <c r="R20"/>
      <c r="S20"/>
      <c r="T20"/>
    </row>
    <row r="21" spans="1:20" ht="14.4" x14ac:dyDescent="0.3">
      <c r="A21" t="s">
        <v>1424</v>
      </c>
      <c r="B21">
        <v>40860</v>
      </c>
      <c r="C21">
        <v>40546</v>
      </c>
      <c r="D21">
        <v>41728</v>
      </c>
      <c r="E21">
        <v>0</v>
      </c>
      <c r="F21"/>
      <c r="G21"/>
      <c r="H21"/>
      <c r="I21"/>
      <c r="J21"/>
      <c r="K21"/>
      <c r="L21"/>
      <c r="M21"/>
      <c r="N21"/>
      <c r="O21"/>
      <c r="P21"/>
      <c r="Q21"/>
      <c r="R21"/>
      <c r="S21"/>
      <c r="T21"/>
    </row>
    <row r="22" spans="1:20" ht="14.4" x14ac:dyDescent="0.3">
      <c r="A22" t="s">
        <v>1425</v>
      </c>
      <c r="B22">
        <v>0</v>
      </c>
      <c r="C22">
        <v>0</v>
      </c>
      <c r="D22">
        <v>0</v>
      </c>
      <c r="E22">
        <v>0</v>
      </c>
      <c r="F22"/>
      <c r="G22"/>
      <c r="H22"/>
      <c r="I22"/>
      <c r="J22"/>
      <c r="K22"/>
      <c r="L22"/>
      <c r="M22"/>
      <c r="N22"/>
      <c r="O22"/>
      <c r="P22"/>
      <c r="Q22"/>
      <c r="R22"/>
      <c r="S22"/>
      <c r="T22"/>
    </row>
    <row r="23" spans="1:20" ht="14.4" x14ac:dyDescent="0.3">
      <c r="A23" t="s">
        <v>1426</v>
      </c>
      <c r="B23">
        <v>7619</v>
      </c>
      <c r="C23">
        <v>8136</v>
      </c>
      <c r="D23">
        <v>10051</v>
      </c>
      <c r="E23">
        <v>0</v>
      </c>
      <c r="F23"/>
      <c r="G23"/>
      <c r="H23"/>
      <c r="I23"/>
      <c r="J23"/>
      <c r="K23"/>
      <c r="L23"/>
      <c r="M23"/>
      <c r="N23"/>
      <c r="O23"/>
      <c r="P23"/>
      <c r="Q23"/>
      <c r="R23"/>
      <c r="S23"/>
      <c r="T23"/>
    </row>
    <row r="24" spans="1:20" ht="14.4" x14ac:dyDescent="0.3">
      <c r="A24" t="s">
        <v>1427</v>
      </c>
      <c r="B24">
        <v>3988</v>
      </c>
      <c r="C24">
        <v>4856</v>
      </c>
      <c r="D24">
        <v>6254</v>
      </c>
      <c r="E24">
        <v>0</v>
      </c>
      <c r="F24"/>
      <c r="G24"/>
      <c r="H24"/>
      <c r="I24"/>
      <c r="J24"/>
      <c r="K24"/>
      <c r="L24"/>
      <c r="M24"/>
      <c r="N24"/>
      <c r="O24"/>
      <c r="P24"/>
      <c r="Q24"/>
      <c r="R24"/>
      <c r="S24"/>
      <c r="T24"/>
    </row>
    <row r="25" spans="1:20" ht="14.4" x14ac:dyDescent="0.3">
      <c r="A25" t="s">
        <v>1428</v>
      </c>
      <c r="B25">
        <v>8961</v>
      </c>
      <c r="C25">
        <v>7104</v>
      </c>
      <c r="D25">
        <v>6999</v>
      </c>
      <c r="E25">
        <v>0</v>
      </c>
      <c r="F25"/>
      <c r="G25"/>
      <c r="H25"/>
      <c r="I25"/>
      <c r="J25"/>
      <c r="K25"/>
      <c r="L25"/>
      <c r="M25"/>
      <c r="N25"/>
      <c r="O25"/>
      <c r="P25"/>
      <c r="Q25"/>
      <c r="R25"/>
      <c r="S25"/>
      <c r="T25"/>
    </row>
    <row r="26" spans="1:20" ht="14.4" x14ac:dyDescent="0.3">
      <c r="A26" t="s">
        <v>1429</v>
      </c>
      <c r="B26">
        <v>44481</v>
      </c>
      <c r="C26">
        <v>83908</v>
      </c>
      <c r="D26">
        <v>103427</v>
      </c>
      <c r="E26">
        <v>0</v>
      </c>
      <c r="F26"/>
      <c r="G26"/>
      <c r="H26"/>
      <c r="I26"/>
      <c r="J26"/>
      <c r="K26"/>
      <c r="L26"/>
      <c r="M26"/>
      <c r="N26"/>
      <c r="O26"/>
      <c r="P26"/>
      <c r="Q26"/>
      <c r="R26"/>
      <c r="S26"/>
      <c r="T26"/>
    </row>
    <row r="27" spans="1:20" ht="14.4" x14ac:dyDescent="0.3">
      <c r="A27" t="s">
        <v>1430</v>
      </c>
      <c r="B27">
        <v>1454</v>
      </c>
      <c r="C27">
        <v>1256</v>
      </c>
      <c r="D27">
        <v>997</v>
      </c>
      <c r="E27">
        <v>0</v>
      </c>
      <c r="F27"/>
      <c r="G27"/>
      <c r="H27"/>
      <c r="I27"/>
      <c r="J27"/>
      <c r="K27"/>
      <c r="L27"/>
      <c r="M27"/>
      <c r="N27"/>
      <c r="O27"/>
      <c r="P27"/>
      <c r="Q27"/>
      <c r="R27"/>
      <c r="S27"/>
      <c r="T27"/>
    </row>
    <row r="28" spans="1:20" ht="14.4" x14ac:dyDescent="0.3">
      <c r="A28" t="s">
        <v>1431</v>
      </c>
      <c r="B28">
        <v>54855</v>
      </c>
      <c r="C28">
        <v>47591</v>
      </c>
      <c r="D28">
        <v>42467</v>
      </c>
      <c r="E28">
        <v>0</v>
      </c>
      <c r="F28"/>
      <c r="G28"/>
      <c r="H28"/>
      <c r="I28"/>
      <c r="J28"/>
      <c r="K28"/>
      <c r="L28"/>
      <c r="M28"/>
      <c r="N28"/>
      <c r="O28"/>
      <c r="P28"/>
      <c r="Q28"/>
      <c r="R28"/>
      <c r="S28"/>
      <c r="T28"/>
    </row>
    <row r="29" spans="1:20" ht="14.4" x14ac:dyDescent="0.3">
      <c r="A29" t="s">
        <v>1432</v>
      </c>
      <c r="B29">
        <v>11281</v>
      </c>
      <c r="C29">
        <v>12538</v>
      </c>
      <c r="D29">
        <v>13676</v>
      </c>
      <c r="E29">
        <v>0</v>
      </c>
      <c r="F29"/>
      <c r="G29"/>
      <c r="H29"/>
      <c r="I29"/>
      <c r="J29"/>
      <c r="K29"/>
      <c r="L29"/>
      <c r="M29"/>
      <c r="N29"/>
      <c r="O29"/>
      <c r="P29"/>
      <c r="Q29"/>
      <c r="R29"/>
      <c r="S29"/>
      <c r="T29"/>
    </row>
    <row r="30" spans="1:20" ht="14.4" x14ac:dyDescent="0.3">
      <c r="A30" t="s">
        <v>1433</v>
      </c>
      <c r="B30">
        <v>23791</v>
      </c>
      <c r="C30">
        <v>48760</v>
      </c>
      <c r="D30">
        <v>39408</v>
      </c>
      <c r="E30">
        <v>0</v>
      </c>
      <c r="F30"/>
      <c r="G30"/>
      <c r="H30"/>
      <c r="I30"/>
      <c r="J30"/>
      <c r="K30"/>
      <c r="L30"/>
      <c r="M30"/>
      <c r="N30"/>
      <c r="O30"/>
      <c r="P30"/>
      <c r="Q30"/>
      <c r="R30"/>
      <c r="S30"/>
      <c r="T30"/>
    </row>
    <row r="31" spans="1:20" ht="14.4" x14ac:dyDescent="0.3">
      <c r="A31" t="s">
        <v>1434</v>
      </c>
      <c r="B31">
        <v>8213</v>
      </c>
      <c r="C31">
        <v>8573</v>
      </c>
      <c r="D31">
        <v>9109</v>
      </c>
      <c r="E31">
        <v>0</v>
      </c>
      <c r="F31"/>
      <c r="G31"/>
      <c r="H31"/>
      <c r="I31"/>
      <c r="J31"/>
      <c r="K31"/>
      <c r="L31"/>
      <c r="M31"/>
      <c r="N31"/>
      <c r="O31"/>
      <c r="P31"/>
      <c r="Q31"/>
      <c r="R31"/>
      <c r="S31"/>
      <c r="T31"/>
    </row>
    <row r="32" spans="1:20" ht="14.4" x14ac:dyDescent="0.3">
      <c r="A32" t="s">
        <v>1435</v>
      </c>
      <c r="B32">
        <v>22220</v>
      </c>
      <c r="C32">
        <v>19472</v>
      </c>
      <c r="D32">
        <v>18483</v>
      </c>
      <c r="E32">
        <v>0</v>
      </c>
      <c r="F32"/>
      <c r="G32"/>
      <c r="H32"/>
      <c r="I32"/>
      <c r="J32"/>
      <c r="K32"/>
      <c r="L32"/>
      <c r="M32"/>
      <c r="N32"/>
      <c r="O32"/>
      <c r="P32"/>
      <c r="Q32"/>
      <c r="R32"/>
      <c r="S32"/>
      <c r="T32"/>
    </row>
    <row r="33" spans="1:20" ht="14.4" x14ac:dyDescent="0.3">
      <c r="A33" t="s">
        <v>1436</v>
      </c>
      <c r="B33">
        <v>70</v>
      </c>
      <c r="C33">
        <v>149</v>
      </c>
      <c r="D33">
        <v>250</v>
      </c>
      <c r="E33">
        <v>0</v>
      </c>
      <c r="F33"/>
      <c r="G33"/>
      <c r="H33"/>
      <c r="I33"/>
      <c r="J33"/>
      <c r="K33"/>
      <c r="L33"/>
      <c r="M33"/>
      <c r="N33"/>
      <c r="O33"/>
      <c r="P33"/>
      <c r="Q33"/>
      <c r="R33"/>
      <c r="S33"/>
      <c r="T33"/>
    </row>
    <row r="34" spans="1:20" ht="14.4" x14ac:dyDescent="0.3">
      <c r="A34" t="s">
        <v>1437</v>
      </c>
      <c r="B34">
        <v>862</v>
      </c>
      <c r="C34">
        <v>736</v>
      </c>
      <c r="D34">
        <v>1078</v>
      </c>
      <c r="E34">
        <v>0</v>
      </c>
      <c r="F34"/>
      <c r="G34"/>
      <c r="H34"/>
      <c r="I34"/>
      <c r="J34"/>
      <c r="K34"/>
      <c r="L34"/>
      <c r="M34"/>
      <c r="N34"/>
      <c r="O34"/>
      <c r="P34"/>
      <c r="Q34"/>
      <c r="R34"/>
      <c r="S34"/>
      <c r="T34"/>
    </row>
    <row r="35" spans="1:20" ht="14.4" x14ac:dyDescent="0.3">
      <c r="A35" t="s">
        <v>1438</v>
      </c>
      <c r="B35">
        <v>0</v>
      </c>
      <c r="C35">
        <v>0</v>
      </c>
      <c r="D35">
        <v>55</v>
      </c>
      <c r="E35">
        <v>0</v>
      </c>
      <c r="F35"/>
      <c r="G35"/>
      <c r="H35"/>
      <c r="I35"/>
      <c r="J35"/>
      <c r="K35"/>
      <c r="L35"/>
      <c r="M35"/>
      <c r="N35"/>
      <c r="O35"/>
      <c r="P35"/>
      <c r="Q35"/>
      <c r="R35"/>
      <c r="S35"/>
      <c r="T35"/>
    </row>
    <row r="36" spans="1:20" ht="14.4" x14ac:dyDescent="0.3">
      <c r="A36" t="s">
        <v>1439</v>
      </c>
      <c r="B36">
        <v>0</v>
      </c>
      <c r="C36">
        <v>0</v>
      </c>
      <c r="D36">
        <v>0</v>
      </c>
      <c r="E36">
        <v>0</v>
      </c>
      <c r="F36"/>
      <c r="G36"/>
      <c r="H36"/>
      <c r="I36"/>
      <c r="J36"/>
      <c r="K36"/>
      <c r="L36"/>
      <c r="M36"/>
      <c r="N36"/>
      <c r="O36"/>
      <c r="P36"/>
      <c r="Q36"/>
      <c r="R36"/>
      <c r="S36"/>
      <c r="T36"/>
    </row>
    <row r="37" spans="1:20" ht="14.4" x14ac:dyDescent="0.3">
      <c r="A37"/>
      <c r="B37"/>
      <c r="C37"/>
      <c r="D37"/>
      <c r="E37"/>
      <c r="F37"/>
      <c r="G37"/>
      <c r="H37"/>
      <c r="I37"/>
      <c r="J37"/>
      <c r="K37"/>
      <c r="L37"/>
      <c r="M37"/>
      <c r="N37"/>
      <c r="O37"/>
      <c r="P37"/>
      <c r="Q37"/>
      <c r="R37"/>
      <c r="S37"/>
      <c r="T37"/>
    </row>
    <row r="38" spans="1:20" ht="14.4" x14ac:dyDescent="0.3">
      <c r="A38"/>
      <c r="B38"/>
      <c r="C38"/>
      <c r="D38"/>
      <c r="E38"/>
      <c r="F38"/>
      <c r="G38"/>
      <c r="H38"/>
      <c r="I38"/>
      <c r="J38"/>
      <c r="K38"/>
      <c r="L38"/>
      <c r="M38"/>
      <c r="N38"/>
      <c r="O38"/>
      <c r="P38"/>
      <c r="Q38"/>
      <c r="R38"/>
      <c r="S38"/>
      <c r="T38"/>
    </row>
    <row r="39" spans="1:20" ht="14.4" x14ac:dyDescent="0.3">
      <c r="A39"/>
      <c r="B39"/>
      <c r="C39"/>
      <c r="D39"/>
      <c r="E39"/>
      <c r="F39"/>
      <c r="G39"/>
      <c r="H39"/>
      <c r="I39"/>
      <c r="J39"/>
      <c r="K39"/>
      <c r="L39"/>
      <c r="M39"/>
      <c r="N39"/>
      <c r="O39"/>
      <c r="P39"/>
      <c r="Q39"/>
      <c r="R39"/>
      <c r="S39"/>
      <c r="T39"/>
    </row>
    <row r="40" spans="1:20" ht="14.4" x14ac:dyDescent="0.3">
      <c r="A40"/>
      <c r="B40"/>
      <c r="C40"/>
      <c r="D40"/>
      <c r="E40"/>
      <c r="F40"/>
      <c r="G40"/>
      <c r="H40"/>
      <c r="I40"/>
      <c r="J40"/>
      <c r="K40"/>
      <c r="L40"/>
      <c r="M40"/>
      <c r="N40"/>
      <c r="O40"/>
      <c r="P40"/>
      <c r="Q40"/>
      <c r="R40"/>
      <c r="S40"/>
      <c r="T40"/>
    </row>
    <row r="41" spans="1:20" ht="14.4" x14ac:dyDescent="0.3">
      <c r="A41"/>
      <c r="B41"/>
      <c r="C41"/>
      <c r="D41"/>
      <c r="E41"/>
      <c r="F41"/>
      <c r="G41"/>
      <c r="H41"/>
      <c r="I41"/>
      <c r="J41"/>
      <c r="K41"/>
      <c r="L41"/>
      <c r="M41"/>
      <c r="N41"/>
      <c r="O41"/>
      <c r="P41"/>
      <c r="Q41"/>
      <c r="R41"/>
      <c r="S41"/>
      <c r="T41"/>
    </row>
    <row r="42" spans="1:20" ht="14.4" x14ac:dyDescent="0.3">
      <c r="A42"/>
      <c r="B42"/>
      <c r="C42"/>
      <c r="D42"/>
      <c r="E42"/>
      <c r="F42"/>
      <c r="G42"/>
      <c r="H42"/>
      <c r="I42"/>
      <c r="J42"/>
      <c r="K42"/>
      <c r="L42"/>
      <c r="M42"/>
      <c r="N42"/>
      <c r="O42"/>
      <c r="P42"/>
      <c r="Q42"/>
      <c r="R42"/>
      <c r="S42"/>
      <c r="T42"/>
    </row>
    <row r="43" spans="1:20" ht="14.4" x14ac:dyDescent="0.3">
      <c r="A43"/>
      <c r="B43"/>
      <c r="C43"/>
      <c r="D43"/>
      <c r="E43"/>
      <c r="F43"/>
      <c r="G43"/>
      <c r="H43"/>
      <c r="I43"/>
      <c r="J43"/>
      <c r="K43"/>
      <c r="L43"/>
      <c r="M43"/>
      <c r="N43"/>
      <c r="O43"/>
      <c r="P43"/>
      <c r="Q43"/>
      <c r="R43"/>
      <c r="S43"/>
      <c r="T43"/>
    </row>
    <row r="44" spans="1:20" ht="14.4" x14ac:dyDescent="0.3">
      <c r="A44"/>
      <c r="B44"/>
      <c r="C44"/>
      <c r="D44"/>
      <c r="E44"/>
      <c r="F44"/>
      <c r="G44"/>
      <c r="H44"/>
      <c r="I44"/>
      <c r="J44"/>
      <c r="K44"/>
      <c r="L44"/>
      <c r="M44"/>
      <c r="N44"/>
      <c r="O44"/>
      <c r="P44"/>
      <c r="Q44"/>
      <c r="R44"/>
      <c r="S44"/>
      <c r="T44"/>
    </row>
    <row r="45" spans="1:20" ht="14.4" x14ac:dyDescent="0.3">
      <c r="A45"/>
      <c r="B45"/>
      <c r="C45"/>
      <c r="D45"/>
      <c r="E45"/>
      <c r="F45"/>
      <c r="G45"/>
      <c r="H45"/>
      <c r="I45"/>
      <c r="J45"/>
      <c r="K45"/>
      <c r="L45"/>
      <c r="M45"/>
      <c r="N45"/>
      <c r="O45"/>
      <c r="P45"/>
      <c r="Q45"/>
      <c r="R45"/>
      <c r="S45"/>
      <c r="T45"/>
    </row>
    <row r="46" spans="1:20" ht="14.4" x14ac:dyDescent="0.3">
      <c r="A46"/>
      <c r="B46"/>
      <c r="C46"/>
      <c r="D46"/>
      <c r="E46"/>
      <c r="F46"/>
      <c r="G46"/>
      <c r="H46"/>
      <c r="I46"/>
      <c r="J46"/>
      <c r="K46"/>
      <c r="L46"/>
      <c r="M46"/>
      <c r="N46"/>
      <c r="O46"/>
      <c r="P46"/>
      <c r="Q46"/>
      <c r="R46"/>
      <c r="S46"/>
      <c r="T46"/>
    </row>
    <row r="47" spans="1:20" ht="14.4" x14ac:dyDescent="0.3">
      <c r="A47"/>
      <c r="B47"/>
      <c r="C47"/>
      <c r="D47"/>
      <c r="E47"/>
      <c r="F47"/>
      <c r="G47"/>
      <c r="H47"/>
      <c r="I47"/>
      <c r="J47"/>
      <c r="K47"/>
      <c r="L47"/>
      <c r="M47"/>
      <c r="N47"/>
      <c r="O47"/>
      <c r="P47"/>
      <c r="Q47"/>
      <c r="R47"/>
      <c r="S47"/>
      <c r="T47"/>
    </row>
    <row r="48" spans="1:20" ht="14.4" x14ac:dyDescent="0.3">
      <c r="A48"/>
      <c r="B48"/>
      <c r="C48"/>
      <c r="D48"/>
      <c r="E48"/>
      <c r="F48"/>
      <c r="G48"/>
      <c r="H48"/>
      <c r="I48"/>
      <c r="J48"/>
      <c r="K48"/>
      <c r="L48"/>
      <c r="M48"/>
      <c r="N48"/>
      <c r="O48"/>
      <c r="P48"/>
      <c r="Q48"/>
      <c r="R48"/>
      <c r="S48"/>
      <c r="T48"/>
    </row>
    <row r="49" spans="1:20" ht="14.4" x14ac:dyDescent="0.3">
      <c r="A49"/>
      <c r="B49"/>
      <c r="C49"/>
      <c r="D49"/>
      <c r="E49"/>
      <c r="F49"/>
      <c r="G49"/>
      <c r="H49"/>
      <c r="I49"/>
      <c r="J49"/>
      <c r="K49"/>
      <c r="L49"/>
      <c r="M49"/>
      <c r="N49"/>
      <c r="O49"/>
      <c r="P49"/>
      <c r="Q49"/>
      <c r="R49"/>
      <c r="S49"/>
      <c r="T49"/>
    </row>
    <row r="50" spans="1:20" ht="14.4" x14ac:dyDescent="0.3">
      <c r="A50"/>
      <c r="B50"/>
      <c r="C50"/>
      <c r="D50"/>
      <c r="E50"/>
      <c r="F50"/>
      <c r="G50"/>
      <c r="H50"/>
      <c r="I50"/>
      <c r="J50"/>
      <c r="K50"/>
      <c r="L50"/>
      <c r="M50"/>
      <c r="N50"/>
      <c r="O50"/>
      <c r="P50"/>
      <c r="Q50"/>
      <c r="R50"/>
      <c r="S50"/>
      <c r="T50"/>
    </row>
    <row r="51" spans="1:20" ht="14.4" x14ac:dyDescent="0.3">
      <c r="A51"/>
      <c r="B51"/>
      <c r="C51"/>
      <c r="D51"/>
      <c r="E51"/>
      <c r="F51"/>
      <c r="G51"/>
      <c r="H51"/>
      <c r="I51"/>
      <c r="J51"/>
      <c r="K51"/>
      <c r="L51"/>
      <c r="M51"/>
      <c r="N51"/>
      <c r="O51"/>
      <c r="P51"/>
      <c r="Q51"/>
      <c r="R51"/>
      <c r="S51"/>
      <c r="T51"/>
    </row>
    <row r="52" spans="1:20" ht="14.4" x14ac:dyDescent="0.3">
      <c r="A52"/>
      <c r="B52"/>
      <c r="C52"/>
      <c r="D52"/>
      <c r="E52"/>
      <c r="F52"/>
      <c r="G52"/>
      <c r="H52"/>
      <c r="I52"/>
      <c r="J52"/>
      <c r="K52"/>
      <c r="L52"/>
      <c r="M52"/>
      <c r="N52"/>
      <c r="O52"/>
      <c r="P52"/>
      <c r="Q52"/>
      <c r="R52"/>
      <c r="S52"/>
      <c r="T52"/>
    </row>
    <row r="53" spans="1:20" ht="14.4" x14ac:dyDescent="0.3">
      <c r="A53"/>
      <c r="B53"/>
      <c r="C53"/>
      <c r="D53"/>
      <c r="E53"/>
      <c r="F53"/>
      <c r="G53"/>
      <c r="H53"/>
      <c r="I53"/>
      <c r="J53"/>
      <c r="K53"/>
      <c r="L53"/>
      <c r="M53"/>
      <c r="N53"/>
      <c r="O53"/>
      <c r="P53"/>
      <c r="Q53"/>
      <c r="R53"/>
      <c r="S53"/>
      <c r="T53"/>
    </row>
    <row r="54" spans="1:20" ht="14.4" x14ac:dyDescent="0.3">
      <c r="A54"/>
      <c r="B54"/>
      <c r="C54"/>
      <c r="D54"/>
      <c r="E54"/>
      <c r="F54"/>
      <c r="G54"/>
      <c r="H54"/>
      <c r="I54"/>
      <c r="J54"/>
      <c r="K54"/>
      <c r="L54"/>
      <c r="M54"/>
      <c r="N54"/>
      <c r="O54"/>
      <c r="P54"/>
      <c r="Q54"/>
      <c r="R54"/>
      <c r="S54"/>
      <c r="T54"/>
    </row>
    <row r="55" spans="1:20" ht="14.4" x14ac:dyDescent="0.3">
      <c r="A55"/>
      <c r="B55"/>
      <c r="C55"/>
      <c r="D55"/>
      <c r="E55"/>
      <c r="F55"/>
      <c r="G55"/>
      <c r="H55"/>
      <c r="I55"/>
      <c r="J55"/>
      <c r="K55"/>
      <c r="L55"/>
      <c r="M55"/>
      <c r="N55"/>
      <c r="O55"/>
      <c r="P55"/>
      <c r="Q55"/>
      <c r="R55"/>
      <c r="S55"/>
      <c r="T55"/>
    </row>
    <row r="56" spans="1:20" ht="14.4" x14ac:dyDescent="0.3">
      <c r="A56"/>
      <c r="B56"/>
      <c r="C56"/>
      <c r="D56"/>
      <c r="E56"/>
      <c r="F56"/>
      <c r="G56"/>
      <c r="H56"/>
      <c r="I56"/>
      <c r="J56"/>
      <c r="K56"/>
      <c r="L56"/>
      <c r="M56"/>
      <c r="N56"/>
      <c r="O56"/>
      <c r="P56"/>
      <c r="Q56"/>
      <c r="R56"/>
      <c r="S56"/>
      <c r="T56"/>
    </row>
    <row r="57" spans="1:20" ht="14.4" x14ac:dyDescent="0.3">
      <c r="A57"/>
      <c r="B57"/>
      <c r="C57"/>
      <c r="D57"/>
      <c r="E57"/>
      <c r="F57"/>
      <c r="G57"/>
      <c r="H57"/>
      <c r="I57"/>
      <c r="J57"/>
      <c r="K57"/>
      <c r="L57"/>
      <c r="M57"/>
      <c r="N57"/>
      <c r="O57"/>
      <c r="P57"/>
      <c r="Q57"/>
      <c r="R57"/>
      <c r="S57"/>
      <c r="T57"/>
    </row>
    <row r="58" spans="1:20" ht="14.4" x14ac:dyDescent="0.3">
      <c r="A58"/>
      <c r="B58"/>
      <c r="C58"/>
      <c r="D58"/>
      <c r="E58"/>
      <c r="F58"/>
      <c r="G58"/>
      <c r="H58"/>
      <c r="I58"/>
      <c r="J58"/>
      <c r="K58"/>
      <c r="L58"/>
      <c r="M58"/>
      <c r="N58"/>
      <c r="O58"/>
      <c r="P58"/>
      <c r="Q58"/>
      <c r="R58"/>
      <c r="S58"/>
      <c r="T58"/>
    </row>
    <row r="59" spans="1:20" ht="14.4" x14ac:dyDescent="0.3">
      <c r="A59"/>
      <c r="B59"/>
      <c r="C59"/>
      <c r="D59"/>
      <c r="E59"/>
      <c r="F59"/>
      <c r="G59"/>
      <c r="H59"/>
      <c r="I59"/>
      <c r="J59"/>
      <c r="K59"/>
      <c r="L59"/>
      <c r="M59"/>
      <c r="N59"/>
      <c r="O59"/>
      <c r="P59"/>
      <c r="Q59"/>
      <c r="R59"/>
      <c r="S59"/>
      <c r="T59"/>
    </row>
    <row r="60" spans="1:20" ht="14.4" x14ac:dyDescent="0.3">
      <c r="A60"/>
      <c r="B60"/>
      <c r="C60"/>
      <c r="D60"/>
      <c r="E60"/>
      <c r="F60"/>
      <c r="G60"/>
      <c r="H60"/>
      <c r="I60"/>
      <c r="J60"/>
      <c r="K60"/>
      <c r="L60"/>
      <c r="M60"/>
      <c r="N60"/>
      <c r="O60"/>
      <c r="P60"/>
      <c r="Q60"/>
      <c r="R60"/>
      <c r="S60"/>
      <c r="T60"/>
    </row>
    <row r="61" spans="1:20" ht="14.4" x14ac:dyDescent="0.3">
      <c r="A61"/>
      <c r="B61"/>
      <c r="C61"/>
      <c r="D61"/>
      <c r="E61"/>
      <c r="F61"/>
      <c r="G61"/>
      <c r="H61"/>
      <c r="I61"/>
      <c r="J61"/>
      <c r="K61"/>
      <c r="L61"/>
      <c r="M61"/>
      <c r="N61"/>
      <c r="O61"/>
      <c r="P61"/>
      <c r="Q61"/>
      <c r="R61"/>
      <c r="S61"/>
      <c r="T61"/>
    </row>
    <row r="62" spans="1:20" ht="14.4" x14ac:dyDescent="0.3">
      <c r="A62"/>
      <c r="B62"/>
      <c r="C62"/>
      <c r="D62"/>
      <c r="E62"/>
      <c r="F62"/>
      <c r="G62"/>
      <c r="H62"/>
      <c r="I62"/>
      <c r="J62"/>
      <c r="K62"/>
      <c r="L62"/>
      <c r="M62"/>
      <c r="N62"/>
      <c r="O62"/>
      <c r="P62"/>
      <c r="Q62"/>
      <c r="R62"/>
      <c r="S62"/>
      <c r="T62"/>
    </row>
    <row r="63" spans="1:20" ht="14.4" x14ac:dyDescent="0.3">
      <c r="A63"/>
      <c r="B63"/>
      <c r="C63"/>
      <c r="D63"/>
      <c r="E63"/>
      <c r="F63"/>
      <c r="G63"/>
      <c r="H63"/>
      <c r="I63"/>
      <c r="J63"/>
      <c r="K63"/>
      <c r="L63"/>
      <c r="M63"/>
      <c r="N63"/>
      <c r="O63"/>
      <c r="P63"/>
      <c r="Q63"/>
      <c r="R63"/>
      <c r="S63"/>
      <c r="T63"/>
    </row>
    <row r="64" spans="1:20" ht="14.4" x14ac:dyDescent="0.3">
      <c r="A64"/>
      <c r="B64"/>
      <c r="C64"/>
      <c r="D64"/>
      <c r="E64"/>
      <c r="F64"/>
      <c r="G64"/>
      <c r="H64"/>
      <c r="I64"/>
      <c r="J64"/>
      <c r="K64"/>
      <c r="L64"/>
      <c r="M64"/>
      <c r="N64"/>
      <c r="O64"/>
      <c r="P64"/>
      <c r="Q64"/>
      <c r="R64"/>
      <c r="S64"/>
      <c r="T64"/>
    </row>
    <row r="65" spans="1:20" ht="14.4" x14ac:dyDescent="0.3">
      <c r="A65"/>
      <c r="B65"/>
      <c r="C65"/>
      <c r="D65"/>
      <c r="E65"/>
      <c r="F65"/>
      <c r="G65"/>
      <c r="H65"/>
      <c r="I65"/>
      <c r="J65"/>
      <c r="K65"/>
      <c r="L65"/>
      <c r="M65"/>
      <c r="N65"/>
      <c r="O65"/>
      <c r="P65"/>
      <c r="Q65"/>
      <c r="R65"/>
      <c r="S65"/>
      <c r="T65"/>
    </row>
    <row r="66" spans="1:20" ht="14.4" x14ac:dyDescent="0.3">
      <c r="A66"/>
      <c r="B66"/>
      <c r="C66"/>
      <c r="D66"/>
      <c r="E66"/>
      <c r="F66"/>
      <c r="G66"/>
      <c r="H66"/>
      <c r="I66"/>
      <c r="J66"/>
      <c r="K66"/>
      <c r="L66"/>
      <c r="M66"/>
      <c r="N66"/>
      <c r="O66"/>
      <c r="P66"/>
      <c r="Q66"/>
      <c r="R66"/>
      <c r="S66"/>
      <c r="T66"/>
    </row>
    <row r="67" spans="1:20" ht="14.4" x14ac:dyDescent="0.3">
      <c r="A67"/>
      <c r="B67"/>
      <c r="C67"/>
      <c r="D67"/>
      <c r="E67"/>
      <c r="F67"/>
      <c r="G67"/>
      <c r="H67"/>
      <c r="I67"/>
      <c r="J67"/>
      <c r="K67"/>
      <c r="L67"/>
      <c r="M67"/>
      <c r="N67"/>
      <c r="O67"/>
      <c r="P67"/>
      <c r="Q67"/>
      <c r="R67"/>
      <c r="S67"/>
      <c r="T67"/>
    </row>
    <row r="68" spans="1:20" ht="14.4" x14ac:dyDescent="0.3">
      <c r="A68"/>
      <c r="B68"/>
      <c r="C68"/>
      <c r="D68"/>
      <c r="E68"/>
      <c r="F68"/>
      <c r="G68"/>
      <c r="H68"/>
      <c r="I68"/>
      <c r="J68"/>
      <c r="K68"/>
      <c r="L68"/>
      <c r="M68"/>
      <c r="N68"/>
      <c r="O68"/>
      <c r="P68"/>
      <c r="Q68"/>
      <c r="R68"/>
      <c r="S68"/>
      <c r="T68"/>
    </row>
    <row r="69" spans="1:20" ht="14.4" x14ac:dyDescent="0.3">
      <c r="A69"/>
      <c r="B69"/>
      <c r="C69"/>
      <c r="D69"/>
      <c r="E69"/>
      <c r="F69"/>
      <c r="G69"/>
      <c r="H69"/>
      <c r="I69"/>
      <c r="J69"/>
      <c r="K69"/>
      <c r="L69"/>
      <c r="M69"/>
      <c r="N69"/>
      <c r="O69"/>
      <c r="P69"/>
      <c r="Q69"/>
      <c r="R69"/>
      <c r="S69"/>
      <c r="T69"/>
    </row>
    <row r="70" spans="1:20" ht="14.4" x14ac:dyDescent="0.3">
      <c r="A70"/>
      <c r="B70"/>
      <c r="C70"/>
      <c r="D70"/>
      <c r="E70"/>
      <c r="F70"/>
      <c r="G70"/>
      <c r="H70"/>
      <c r="I70"/>
      <c r="J70"/>
      <c r="K70"/>
      <c r="L70"/>
      <c r="M70"/>
      <c r="N70"/>
      <c r="O70"/>
      <c r="P70"/>
      <c r="Q70"/>
      <c r="R70"/>
      <c r="S70"/>
      <c r="T70"/>
    </row>
    <row r="71" spans="1:20" ht="14.4" x14ac:dyDescent="0.3">
      <c r="A71"/>
      <c r="B71"/>
      <c r="C71"/>
      <c r="D71"/>
      <c r="E71"/>
      <c r="F71"/>
      <c r="G71"/>
      <c r="H71"/>
      <c r="I71"/>
      <c r="J71"/>
      <c r="K71"/>
      <c r="L71"/>
      <c r="M71"/>
      <c r="N71"/>
      <c r="O71"/>
      <c r="P71"/>
      <c r="Q71"/>
      <c r="R71"/>
      <c r="S71"/>
      <c r="T71"/>
    </row>
    <row r="72" spans="1:20" ht="14.4" x14ac:dyDescent="0.3">
      <c r="A72"/>
      <c r="B72"/>
      <c r="C72"/>
      <c r="D72"/>
      <c r="E72"/>
      <c r="F72"/>
      <c r="G72"/>
      <c r="H72"/>
      <c r="I72"/>
      <c r="J72"/>
      <c r="K72"/>
      <c r="L72"/>
      <c r="M72"/>
      <c r="N72"/>
      <c r="O72"/>
      <c r="P72"/>
      <c r="Q72"/>
      <c r="R72"/>
      <c r="S72"/>
      <c r="T72"/>
    </row>
    <row r="73" spans="1:20" ht="14.4" x14ac:dyDescent="0.3">
      <c r="A73"/>
      <c r="B73"/>
      <c r="C73"/>
      <c r="D73"/>
      <c r="E73"/>
      <c r="F73"/>
      <c r="G73"/>
      <c r="H73"/>
      <c r="I73"/>
      <c r="J73"/>
      <c r="K73"/>
      <c r="L73"/>
      <c r="M73"/>
      <c r="N73"/>
      <c r="O73"/>
      <c r="P73"/>
      <c r="Q73"/>
      <c r="R73"/>
      <c r="S73"/>
      <c r="T73"/>
    </row>
    <row r="74" spans="1:20" ht="14.4" x14ac:dyDescent="0.3">
      <c r="A74"/>
      <c r="B74"/>
      <c r="C74"/>
      <c r="D74"/>
      <c r="E74"/>
      <c r="F74"/>
      <c r="G74"/>
      <c r="H74"/>
      <c r="I74"/>
      <c r="J74"/>
      <c r="K74"/>
      <c r="L74"/>
      <c r="M74"/>
      <c r="N74"/>
      <c r="O74"/>
      <c r="P74"/>
      <c r="Q74"/>
      <c r="R74"/>
      <c r="S74"/>
      <c r="T74"/>
    </row>
    <row r="75" spans="1:20" ht="14.4" x14ac:dyDescent="0.3">
      <c r="A75"/>
      <c r="B75"/>
      <c r="C75"/>
      <c r="D75"/>
      <c r="E75"/>
      <c r="F75"/>
      <c r="G75"/>
      <c r="H75"/>
      <c r="I75"/>
      <c r="J75"/>
      <c r="K75"/>
      <c r="L75"/>
      <c r="M75"/>
      <c r="N75"/>
      <c r="O75"/>
      <c r="P75"/>
      <c r="Q75"/>
      <c r="R75"/>
      <c r="S75"/>
      <c r="T75"/>
    </row>
    <row r="76" spans="1:20" ht="14.4" x14ac:dyDescent="0.3">
      <c r="A76"/>
      <c r="B76"/>
      <c r="C76"/>
      <c r="D76"/>
      <c r="E76"/>
      <c r="F76"/>
      <c r="G76"/>
      <c r="H76"/>
      <c r="I76"/>
      <c r="J76"/>
      <c r="K76"/>
      <c r="L76"/>
      <c r="M76"/>
      <c r="N76"/>
      <c r="O76"/>
      <c r="P76"/>
      <c r="Q76"/>
      <c r="R76"/>
      <c r="S76"/>
      <c r="T76"/>
    </row>
    <row r="77" spans="1:20" ht="14.4" x14ac:dyDescent="0.3">
      <c r="A77"/>
      <c r="B77"/>
      <c r="C77"/>
      <c r="D77"/>
      <c r="E77"/>
      <c r="F77"/>
      <c r="G77"/>
      <c r="H77"/>
      <c r="I77"/>
      <c r="J77"/>
      <c r="K77"/>
      <c r="L77"/>
      <c r="M77"/>
      <c r="N77"/>
      <c r="O77"/>
      <c r="P77"/>
      <c r="Q77"/>
      <c r="R77"/>
      <c r="S77"/>
      <c r="T77"/>
    </row>
    <row r="78" spans="1:20" ht="14.4" x14ac:dyDescent="0.3">
      <c r="A78"/>
      <c r="B78"/>
      <c r="C78"/>
      <c r="D78"/>
      <c r="E78"/>
      <c r="F78"/>
      <c r="G78"/>
      <c r="H78"/>
      <c r="I78"/>
      <c r="J78"/>
      <c r="K78"/>
      <c r="L78"/>
      <c r="M78"/>
      <c r="N78"/>
      <c r="O78"/>
      <c r="P78"/>
      <c r="Q78"/>
      <c r="R78"/>
      <c r="S78"/>
      <c r="T78"/>
    </row>
    <row r="79" spans="1:20" ht="14.4" x14ac:dyDescent="0.3">
      <c r="A79"/>
      <c r="B79"/>
      <c r="C79"/>
      <c r="D79"/>
      <c r="E79"/>
      <c r="F79"/>
      <c r="G79"/>
      <c r="H79"/>
      <c r="I79"/>
      <c r="J79"/>
      <c r="K79"/>
      <c r="L79"/>
      <c r="M79"/>
      <c r="N79"/>
      <c r="O79"/>
      <c r="P79"/>
      <c r="Q79"/>
      <c r="R79"/>
      <c r="S79"/>
      <c r="T79"/>
    </row>
    <row r="80" spans="1:20" ht="14.4" x14ac:dyDescent="0.3">
      <c r="A80"/>
      <c r="B80"/>
      <c r="C80"/>
      <c r="D80"/>
      <c r="E80"/>
      <c r="F80"/>
      <c r="G80"/>
      <c r="H80"/>
      <c r="I80"/>
      <c r="J80"/>
      <c r="K80"/>
      <c r="L80"/>
      <c r="M80"/>
      <c r="N80"/>
      <c r="O80"/>
      <c r="P80"/>
      <c r="Q80"/>
      <c r="R80"/>
      <c r="S80"/>
      <c r="T80"/>
    </row>
    <row r="81" spans="1:20" ht="14.4" x14ac:dyDescent="0.3">
      <c r="A81"/>
      <c r="B81"/>
      <c r="C81"/>
      <c r="D81"/>
      <c r="E81"/>
      <c r="F81"/>
      <c r="G81"/>
      <c r="H81"/>
      <c r="I81"/>
      <c r="J81"/>
      <c r="K81"/>
      <c r="L81"/>
      <c r="M81"/>
      <c r="N81"/>
      <c r="O81"/>
      <c r="P81"/>
      <c r="Q81"/>
      <c r="R81"/>
      <c r="S81"/>
      <c r="T81"/>
    </row>
    <row r="82" spans="1:20" ht="14.4" x14ac:dyDescent="0.3">
      <c r="A82"/>
      <c r="B82"/>
      <c r="C82"/>
      <c r="D82"/>
      <c r="E82"/>
      <c r="F82"/>
      <c r="G82"/>
      <c r="H82"/>
      <c r="I82"/>
      <c r="J82"/>
      <c r="K82"/>
      <c r="L82"/>
      <c r="M82"/>
      <c r="N82"/>
      <c r="O82"/>
      <c r="P82"/>
      <c r="Q82"/>
      <c r="R82"/>
      <c r="S82"/>
      <c r="T82"/>
    </row>
    <row r="83" spans="1:20" ht="14.4" x14ac:dyDescent="0.3">
      <c r="A83"/>
      <c r="B83"/>
      <c r="C83"/>
      <c r="D83"/>
      <c r="E83"/>
      <c r="F83"/>
      <c r="G83"/>
      <c r="H83"/>
      <c r="I83"/>
      <c r="J83"/>
      <c r="K83"/>
      <c r="L83"/>
      <c r="M83"/>
      <c r="N83"/>
      <c r="O83"/>
      <c r="P83"/>
      <c r="Q83"/>
      <c r="R83"/>
      <c r="S83"/>
      <c r="T83"/>
    </row>
    <row r="84" spans="1:20" ht="14.4" x14ac:dyDescent="0.3">
      <c r="A84"/>
      <c r="B84"/>
      <c r="C84"/>
      <c r="D84"/>
      <c r="E84"/>
      <c r="F84"/>
      <c r="G84"/>
      <c r="H84"/>
      <c r="I84"/>
      <c r="J84"/>
      <c r="K84"/>
      <c r="L84"/>
      <c r="M84"/>
      <c r="N84"/>
      <c r="O84"/>
      <c r="P84"/>
      <c r="Q84"/>
      <c r="R84"/>
      <c r="S84"/>
      <c r="T84"/>
    </row>
    <row r="85" spans="1:20" ht="14.4" x14ac:dyDescent="0.3">
      <c r="A85"/>
      <c r="B85"/>
      <c r="C85"/>
      <c r="D85"/>
      <c r="E85"/>
      <c r="F85"/>
      <c r="G85"/>
      <c r="H85"/>
      <c r="I85"/>
      <c r="J85"/>
      <c r="K85"/>
      <c r="L85"/>
      <c r="M85"/>
      <c r="N85"/>
      <c r="O85"/>
      <c r="P85"/>
      <c r="Q85"/>
      <c r="R85"/>
      <c r="S85"/>
      <c r="T85"/>
    </row>
    <row r="86" spans="1:20" ht="14.4" x14ac:dyDescent="0.3">
      <c r="A86"/>
      <c r="B86"/>
      <c r="C86"/>
      <c r="D86"/>
      <c r="E86"/>
      <c r="F86"/>
      <c r="G86"/>
      <c r="H86"/>
      <c r="I86"/>
      <c r="J86"/>
      <c r="K86"/>
      <c r="L86"/>
      <c r="M86"/>
      <c r="N86"/>
      <c r="O86"/>
      <c r="P86"/>
      <c r="Q86"/>
      <c r="R86"/>
      <c r="S86"/>
      <c r="T86"/>
    </row>
    <row r="87" spans="1:20" ht="14.4" x14ac:dyDescent="0.3">
      <c r="A87"/>
      <c r="B87"/>
      <c r="C87"/>
      <c r="D87"/>
      <c r="E87"/>
      <c r="F87"/>
      <c r="G87"/>
      <c r="H87"/>
      <c r="I87"/>
      <c r="J87"/>
      <c r="K87"/>
      <c r="L87"/>
      <c r="M87"/>
      <c r="N87"/>
      <c r="O87"/>
      <c r="P87"/>
      <c r="Q87"/>
      <c r="R87"/>
      <c r="S87"/>
      <c r="T87"/>
    </row>
    <row r="88" spans="1:20" ht="14.4" x14ac:dyDescent="0.3">
      <c r="A88">
        <v>2022</v>
      </c>
      <c r="B88">
        <v>0</v>
      </c>
      <c r="C88" t="s">
        <v>1412</v>
      </c>
      <c r="D88"/>
      <c r="E88"/>
      <c r="F88"/>
      <c r="G88"/>
      <c r="H88"/>
      <c r="I88"/>
      <c r="J88"/>
      <c r="K88"/>
      <c r="L88"/>
      <c r="M88"/>
      <c r="N88"/>
      <c r="O88"/>
      <c r="P88"/>
      <c r="Q88"/>
      <c r="R88"/>
      <c r="S88"/>
      <c r="T88"/>
    </row>
    <row r="89" spans="1:20" ht="14.4" x14ac:dyDescent="0.3">
      <c r="A89">
        <v>2022</v>
      </c>
      <c r="B89">
        <v>0</v>
      </c>
      <c r="C89" t="s">
        <v>1413</v>
      </c>
      <c r="D89"/>
      <c r="E89"/>
      <c r="F89"/>
      <c r="G89"/>
      <c r="H89"/>
      <c r="I89"/>
      <c r="J89"/>
      <c r="K89"/>
      <c r="L89"/>
      <c r="M89"/>
      <c r="N89"/>
      <c r="O89"/>
      <c r="P89"/>
      <c r="Q89"/>
      <c r="R89"/>
      <c r="S89"/>
      <c r="T89"/>
    </row>
    <row r="90" spans="1:20" ht="14.4" x14ac:dyDescent="0.3">
      <c r="A90">
        <v>2022</v>
      </c>
      <c r="B90">
        <v>0</v>
      </c>
      <c r="C90" t="s">
        <v>1414</v>
      </c>
      <c r="D90"/>
      <c r="E90"/>
      <c r="F90"/>
      <c r="G90"/>
      <c r="H90"/>
      <c r="I90"/>
      <c r="J90"/>
      <c r="K90"/>
      <c r="L90"/>
      <c r="M90"/>
      <c r="N90"/>
      <c r="O90"/>
      <c r="P90"/>
      <c r="Q90"/>
      <c r="R90"/>
      <c r="S90"/>
      <c r="T90"/>
    </row>
    <row r="91" spans="1:20" ht="14.4" x14ac:dyDescent="0.3">
      <c r="A91">
        <v>2021</v>
      </c>
      <c r="B91">
        <v>791</v>
      </c>
      <c r="C91" t="s">
        <v>1412</v>
      </c>
      <c r="D91"/>
      <c r="E91"/>
      <c r="F91"/>
      <c r="G91"/>
      <c r="H91"/>
      <c r="I91"/>
      <c r="J91"/>
      <c r="K91"/>
      <c r="L91"/>
      <c r="M91"/>
      <c r="N91"/>
      <c r="O91"/>
      <c r="P91"/>
      <c r="Q91"/>
      <c r="R91"/>
      <c r="S91"/>
      <c r="T91"/>
    </row>
    <row r="92" spans="1:20" ht="14.4" x14ac:dyDescent="0.3">
      <c r="A92">
        <v>2021</v>
      </c>
      <c r="B92">
        <v>388</v>
      </c>
      <c r="C92" t="s">
        <v>1413</v>
      </c>
      <c r="D92"/>
      <c r="E92"/>
      <c r="F92"/>
      <c r="G92"/>
      <c r="H92"/>
      <c r="I92"/>
      <c r="J92"/>
      <c r="K92"/>
      <c r="L92"/>
      <c r="M92"/>
      <c r="N92"/>
      <c r="O92"/>
      <c r="P92"/>
      <c r="Q92"/>
      <c r="R92"/>
      <c r="S92"/>
      <c r="T92"/>
    </row>
    <row r="93" spans="1:20" ht="14.4" x14ac:dyDescent="0.3">
      <c r="A93">
        <v>2021</v>
      </c>
      <c r="B93">
        <v>6196</v>
      </c>
      <c r="C93" t="s">
        <v>1414</v>
      </c>
      <c r="D93"/>
      <c r="E93"/>
      <c r="F93"/>
      <c r="G93"/>
      <c r="H93"/>
      <c r="I93"/>
      <c r="J93"/>
      <c r="K93"/>
      <c r="L93"/>
      <c r="M93"/>
      <c r="N93"/>
      <c r="O93"/>
      <c r="P93"/>
      <c r="Q93"/>
      <c r="R93"/>
      <c r="S93"/>
      <c r="T93"/>
    </row>
    <row r="94" spans="1:20" ht="14.4" x14ac:dyDescent="0.3">
      <c r="A94">
        <v>2020</v>
      </c>
      <c r="B94">
        <v>773</v>
      </c>
      <c r="C94" t="s">
        <v>1412</v>
      </c>
      <c r="D94"/>
      <c r="E94"/>
      <c r="F94"/>
      <c r="G94"/>
      <c r="H94"/>
      <c r="I94"/>
      <c r="J94"/>
      <c r="K94"/>
      <c r="L94"/>
      <c r="M94"/>
      <c r="N94"/>
      <c r="O94"/>
      <c r="P94"/>
      <c r="Q94"/>
      <c r="R94"/>
      <c r="S94"/>
      <c r="T94"/>
    </row>
    <row r="95" spans="1:20" ht="14.4" x14ac:dyDescent="0.3">
      <c r="A95">
        <v>2020</v>
      </c>
      <c r="B95">
        <v>344</v>
      </c>
      <c r="C95" t="s">
        <v>1413</v>
      </c>
      <c r="D95"/>
      <c r="E95"/>
      <c r="F95"/>
      <c r="G95"/>
      <c r="H95"/>
      <c r="I95"/>
      <c r="J95"/>
      <c r="K95"/>
      <c r="L95"/>
      <c r="M95"/>
      <c r="N95"/>
      <c r="O95"/>
      <c r="P95"/>
      <c r="Q95"/>
      <c r="R95"/>
      <c r="S95"/>
      <c r="T95"/>
    </row>
    <row r="96" spans="1:20" ht="14.4" x14ac:dyDescent="0.3">
      <c r="A96">
        <v>2020</v>
      </c>
      <c r="B96">
        <v>6403</v>
      </c>
      <c r="C96" t="s">
        <v>1414</v>
      </c>
      <c r="D96"/>
      <c r="E96"/>
      <c r="F96"/>
      <c r="G96"/>
      <c r="H96"/>
      <c r="I96"/>
      <c r="J96"/>
      <c r="K96"/>
      <c r="L96"/>
      <c r="M96"/>
      <c r="N96"/>
      <c r="O96"/>
      <c r="P96"/>
      <c r="Q96"/>
      <c r="R96"/>
      <c r="S96"/>
      <c r="T96"/>
    </row>
    <row r="97" spans="1:28" ht="14.4" x14ac:dyDescent="0.3">
      <c r="A97" t="s">
        <v>6</v>
      </c>
      <c r="B97" t="s">
        <v>1254</v>
      </c>
      <c r="C97" t="s">
        <v>1255</v>
      </c>
      <c r="D97" t="s">
        <v>1256</v>
      </c>
      <c r="E97" t="s">
        <v>1257</v>
      </c>
      <c r="F97" t="s">
        <v>1258</v>
      </c>
      <c r="G97" t="s">
        <v>1259</v>
      </c>
      <c r="H97" t="s">
        <v>1260</v>
      </c>
      <c r="I97" t="s">
        <v>1261</v>
      </c>
      <c r="J97" t="s">
        <v>1415</v>
      </c>
      <c r="K97" t="s">
        <v>1416</v>
      </c>
      <c r="L97" t="s">
        <v>1417</v>
      </c>
      <c r="M97" t="s">
        <v>1418</v>
      </c>
      <c r="N97"/>
      <c r="O97"/>
      <c r="P97"/>
      <c r="Q97"/>
      <c r="R97"/>
      <c r="S97"/>
      <c r="T97"/>
      <c r="U97" s="1" t="s">
        <v>1254</v>
      </c>
      <c r="V97" s="1" t="s">
        <v>1255</v>
      </c>
      <c r="W97" s="1" t="s">
        <v>1256</v>
      </c>
      <c r="X97" s="1" t="s">
        <v>1257</v>
      </c>
      <c r="Y97" s="1" t="s">
        <v>1258</v>
      </c>
      <c r="Z97" s="1" t="s">
        <v>1259</v>
      </c>
      <c r="AA97" s="1" t="s">
        <v>1260</v>
      </c>
      <c r="AB97" s="1" t="s">
        <v>1261</v>
      </c>
    </row>
    <row r="98" spans="1:28" ht="14.4" x14ac:dyDescent="0.3">
      <c r="A98">
        <v>2022</v>
      </c>
      <c r="B98">
        <v>0</v>
      </c>
      <c r="C98">
        <v>0</v>
      </c>
      <c r="D98">
        <v>0</v>
      </c>
      <c r="E98">
        <v>0</v>
      </c>
      <c r="F98">
        <v>0</v>
      </c>
      <c r="G98">
        <v>0</v>
      </c>
      <c r="H98">
        <v>0</v>
      </c>
      <c r="I98">
        <v>0</v>
      </c>
      <c r="J98">
        <v>0</v>
      </c>
      <c r="K98">
        <v>0</v>
      </c>
      <c r="L98">
        <v>0</v>
      </c>
      <c r="M98">
        <v>0</v>
      </c>
      <c r="N98"/>
      <c r="O98"/>
      <c r="P98"/>
      <c r="Q98"/>
      <c r="R98"/>
      <c r="S98"/>
      <c r="T98"/>
      <c r="U98" s="1">
        <v>0</v>
      </c>
      <c r="V98" s="1">
        <v>0</v>
      </c>
      <c r="W98" s="1">
        <v>0</v>
      </c>
      <c r="X98" s="1">
        <v>0</v>
      </c>
      <c r="Y98" s="1">
        <v>0</v>
      </c>
      <c r="Z98" s="1">
        <v>0</v>
      </c>
      <c r="AA98" s="1">
        <v>0</v>
      </c>
    </row>
    <row r="99" spans="1:28" ht="14.4" x14ac:dyDescent="0.3">
      <c r="A99">
        <v>2021</v>
      </c>
      <c r="B99">
        <v>0</v>
      </c>
      <c r="C99">
        <v>5.0997830000000004</v>
      </c>
      <c r="D99">
        <v>6.3007049999999998</v>
      </c>
      <c r="E99">
        <v>7.9605040000000002</v>
      </c>
      <c r="F99">
        <v>0.72887400000000002</v>
      </c>
      <c r="G99">
        <v>0</v>
      </c>
      <c r="H99">
        <v>0</v>
      </c>
      <c r="I99">
        <v>1.5310889999999999</v>
      </c>
      <c r="J99">
        <v>151225</v>
      </c>
      <c r="K99">
        <v>1.0847</v>
      </c>
      <c r="L99">
        <v>2341714</v>
      </c>
      <c r="M99">
        <v>17705</v>
      </c>
      <c r="N99"/>
      <c r="O99"/>
      <c r="P99"/>
      <c r="Q99"/>
      <c r="R99"/>
      <c r="S99"/>
      <c r="T99"/>
    </row>
    <row r="100" spans="1:28" ht="14.4" x14ac:dyDescent="0.3">
      <c r="A100">
        <v>2020</v>
      </c>
      <c r="B100">
        <v>0</v>
      </c>
      <c r="C100">
        <v>5.9936829999999999</v>
      </c>
      <c r="D100">
        <v>7.0734620000000001</v>
      </c>
      <c r="E100">
        <v>9.6113890000000008</v>
      </c>
      <c r="F100">
        <v>0.85949299999999995</v>
      </c>
      <c r="G100">
        <v>0</v>
      </c>
      <c r="H100">
        <v>0</v>
      </c>
      <c r="I100">
        <v>1.7239610000000001</v>
      </c>
      <c r="J100">
        <v>151225</v>
      </c>
      <c r="K100">
        <v>0.90519499999999997</v>
      </c>
      <c r="L100">
        <v>2191166</v>
      </c>
      <c r="M100">
        <v>18767</v>
      </c>
      <c r="N100"/>
      <c r="O100"/>
      <c r="P100"/>
      <c r="Q100"/>
      <c r="R100"/>
      <c r="S100"/>
      <c r="T100"/>
    </row>
    <row r="101" spans="1:28" ht="14.4" x14ac:dyDescent="0.3">
      <c r="A101">
        <v>2019</v>
      </c>
      <c r="B101">
        <v>0</v>
      </c>
      <c r="C101">
        <v>5.9578470000000001</v>
      </c>
      <c r="D101">
        <v>6.5707399999999998</v>
      </c>
      <c r="E101">
        <v>10.002364999999999</v>
      </c>
      <c r="F101">
        <v>0.84408700000000003</v>
      </c>
      <c r="G101">
        <v>0</v>
      </c>
      <c r="H101">
        <v>0</v>
      </c>
      <c r="I101">
        <v>1.7233449999999999</v>
      </c>
      <c r="J101">
        <v>151225</v>
      </c>
      <c r="K101">
        <v>0.93499600000000005</v>
      </c>
      <c r="L101">
        <v>2188787</v>
      </c>
      <c r="M101">
        <v>18842</v>
      </c>
      <c r="N101"/>
      <c r="O101"/>
      <c r="P101"/>
      <c r="Q101"/>
      <c r="R101"/>
      <c r="S101"/>
      <c r="T101"/>
    </row>
    <row r="102" spans="1:28" ht="14.4" x14ac:dyDescent="0.3">
      <c r="A102" t="s">
        <v>6</v>
      </c>
      <c r="B102" t="s">
        <v>1419</v>
      </c>
      <c r="C102" t="s">
        <v>1420</v>
      </c>
      <c r="D102" t="s">
        <v>1421</v>
      </c>
      <c r="E102"/>
      <c r="F102" t="s">
        <v>1422</v>
      </c>
      <c r="G102"/>
      <c r="H102"/>
      <c r="I102"/>
      <c r="J102"/>
      <c r="K102"/>
      <c r="L102"/>
      <c r="M102"/>
      <c r="N102"/>
      <c r="O102"/>
      <c r="P102"/>
      <c r="Q102"/>
      <c r="R102"/>
      <c r="S102"/>
      <c r="T102"/>
    </row>
    <row r="103" spans="1:28" ht="14.4" x14ac:dyDescent="0.3">
      <c r="A103">
        <v>2022</v>
      </c>
      <c r="B103">
        <v>0</v>
      </c>
      <c r="C103">
        <v>0</v>
      </c>
      <c r="D103">
        <v>0</v>
      </c>
      <c r="E103"/>
      <c r="F103"/>
      <c r="G103"/>
      <c r="H103"/>
      <c r="I103"/>
      <c r="J103"/>
      <c r="K103"/>
      <c r="L103"/>
      <c r="M103"/>
      <c r="N103"/>
      <c r="O103"/>
      <c r="P103"/>
      <c r="Q103"/>
      <c r="R103"/>
      <c r="S103"/>
      <c r="T103"/>
    </row>
    <row r="104" spans="1:28" ht="14.4" x14ac:dyDescent="0.3">
      <c r="A104">
        <v>2021</v>
      </c>
      <c r="B104">
        <v>17203</v>
      </c>
      <c r="C104">
        <v>0</v>
      </c>
      <c r="D104">
        <v>33168</v>
      </c>
      <c r="E104"/>
      <c r="F104"/>
      <c r="G104"/>
      <c r="H104"/>
      <c r="I104"/>
      <c r="J104"/>
      <c r="K104"/>
      <c r="L104"/>
      <c r="M104"/>
      <c r="N104"/>
      <c r="O104"/>
      <c r="P104"/>
      <c r="Q104"/>
      <c r="R104"/>
      <c r="S104"/>
      <c r="T104"/>
    </row>
    <row r="105" spans="1:28" ht="14.4" x14ac:dyDescent="0.3">
      <c r="A105">
        <v>2020</v>
      </c>
      <c r="B105">
        <v>17203</v>
      </c>
      <c r="C105">
        <v>0</v>
      </c>
      <c r="D105">
        <v>30300</v>
      </c>
      <c r="E105"/>
      <c r="F105"/>
      <c r="G105"/>
      <c r="H105"/>
      <c r="I105"/>
      <c r="J105"/>
      <c r="K105"/>
      <c r="L105"/>
      <c r="M105"/>
      <c r="N105"/>
      <c r="O105"/>
      <c r="P105"/>
      <c r="Q105"/>
      <c r="R105"/>
      <c r="S105"/>
      <c r="T105"/>
    </row>
    <row r="106" spans="1:28" ht="14.4" x14ac:dyDescent="0.3">
      <c r="A106">
        <v>2019</v>
      </c>
      <c r="B106">
        <v>17203</v>
      </c>
      <c r="C106">
        <v>0</v>
      </c>
      <c r="D106">
        <v>31020</v>
      </c>
      <c r="E106"/>
      <c r="F106"/>
      <c r="G106"/>
      <c r="H106"/>
      <c r="I106"/>
      <c r="J106"/>
      <c r="K106"/>
      <c r="L106"/>
      <c r="M106"/>
      <c r="N106"/>
      <c r="O106"/>
      <c r="P106"/>
      <c r="Q106"/>
      <c r="R106"/>
      <c r="S106"/>
      <c r="T106"/>
    </row>
    <row r="107" spans="1:28" ht="14.4" x14ac:dyDescent="0.3">
      <c r="A107"/>
      <c r="B107"/>
      <c r="C107"/>
      <c r="D107"/>
      <c r="E107"/>
      <c r="F107"/>
      <c r="G107"/>
      <c r="H107"/>
      <c r="I107"/>
      <c r="J107"/>
      <c r="K107"/>
      <c r="L107"/>
      <c r="M107"/>
      <c r="N107"/>
      <c r="O107"/>
      <c r="P107"/>
      <c r="Q107"/>
      <c r="R107"/>
      <c r="S107"/>
      <c r="T107"/>
    </row>
    <row r="108" spans="1:28" ht="14.4" x14ac:dyDescent="0.3">
      <c r="A108"/>
      <c r="B108"/>
      <c r="C108"/>
      <c r="D108"/>
      <c r="E108"/>
      <c r="F108"/>
      <c r="G108"/>
      <c r="H108"/>
      <c r="I108"/>
      <c r="J108"/>
      <c r="K108"/>
      <c r="L108"/>
      <c r="M108"/>
      <c r="N108"/>
      <c r="O108"/>
      <c r="P108"/>
      <c r="Q108"/>
      <c r="R108"/>
      <c r="S108"/>
      <c r="T108"/>
    </row>
    <row r="109" spans="1:28" ht="14.4" x14ac:dyDescent="0.3">
      <c r="A109"/>
      <c r="B109"/>
      <c r="C109"/>
      <c r="D109"/>
      <c r="E109"/>
      <c r="F109"/>
      <c r="G109"/>
      <c r="H109"/>
      <c r="I109"/>
      <c r="J109"/>
      <c r="K109"/>
      <c r="L109"/>
      <c r="M109"/>
      <c r="N109"/>
      <c r="O109"/>
      <c r="P109"/>
      <c r="Q109"/>
      <c r="R109"/>
      <c r="S109"/>
      <c r="T109"/>
    </row>
    <row r="110" spans="1:28" ht="14.4" x14ac:dyDescent="0.3">
      <c r="A110"/>
      <c r="B110"/>
      <c r="C110"/>
      <c r="D110"/>
      <c r="E110"/>
      <c r="F110"/>
      <c r="G110"/>
      <c r="H110"/>
      <c r="I110"/>
      <c r="J110"/>
      <c r="K110"/>
      <c r="L110"/>
      <c r="M110"/>
      <c r="N110"/>
      <c r="O110"/>
      <c r="P110"/>
      <c r="Q110"/>
      <c r="R110"/>
      <c r="S110"/>
      <c r="T110"/>
    </row>
    <row r="111" spans="1:28" ht="14.4" x14ac:dyDescent="0.3">
      <c r="A111"/>
      <c r="B111"/>
      <c r="C111"/>
      <c r="D111"/>
      <c r="E111"/>
      <c r="F111"/>
      <c r="G111"/>
      <c r="H111"/>
      <c r="I111"/>
      <c r="J111"/>
      <c r="K111"/>
      <c r="L111"/>
      <c r="M111"/>
      <c r="N111"/>
      <c r="O111"/>
      <c r="P111"/>
      <c r="Q111"/>
      <c r="R111"/>
      <c r="S111"/>
      <c r="T111"/>
    </row>
    <row r="112" spans="1:28" ht="14.4" x14ac:dyDescent="0.3">
      <c r="A112"/>
      <c r="B112"/>
      <c r="C112"/>
      <c r="D112"/>
      <c r="E112"/>
      <c r="F112"/>
      <c r="G112"/>
      <c r="H112"/>
      <c r="I112"/>
      <c r="J112"/>
      <c r="K112"/>
      <c r="L112"/>
      <c r="M112"/>
      <c r="N112"/>
      <c r="O112"/>
      <c r="P112"/>
      <c r="Q112"/>
      <c r="R112"/>
      <c r="S112"/>
      <c r="T112"/>
    </row>
    <row r="113" spans="1:31" ht="14.4" x14ac:dyDescent="0.3">
      <c r="A113"/>
      <c r="B113"/>
      <c r="C113"/>
      <c r="D113"/>
      <c r="E113"/>
      <c r="F113"/>
      <c r="G113"/>
      <c r="H113"/>
      <c r="I113"/>
      <c r="J113"/>
      <c r="K113"/>
      <c r="L113"/>
      <c r="M113"/>
      <c r="N113"/>
      <c r="O113"/>
      <c r="P113"/>
      <c r="Q113"/>
      <c r="R113"/>
      <c r="S113"/>
      <c r="T113"/>
    </row>
    <row r="114" spans="1:31" ht="14.4" x14ac:dyDescent="0.3">
      <c r="A114" t="s">
        <v>1440</v>
      </c>
      <c r="B114">
        <v>2021</v>
      </c>
      <c r="C114">
        <v>2021</v>
      </c>
      <c r="D114">
        <v>2022</v>
      </c>
      <c r="E114">
        <v>2022</v>
      </c>
      <c r="F114"/>
      <c r="G114"/>
      <c r="H114"/>
      <c r="I114"/>
      <c r="J114"/>
      <c r="K114"/>
      <c r="L114"/>
      <c r="M114"/>
      <c r="N114"/>
      <c r="O114"/>
      <c r="P114"/>
      <c r="Q114"/>
      <c r="R114"/>
      <c r="S114"/>
      <c r="T114"/>
    </row>
    <row r="115" spans="1:31" ht="14.4" x14ac:dyDescent="0.3">
      <c r="A115" t="s">
        <v>1441</v>
      </c>
      <c r="B115">
        <v>250</v>
      </c>
      <c r="C115">
        <v>0</v>
      </c>
      <c r="D115">
        <v>0</v>
      </c>
      <c r="E115">
        <v>0</v>
      </c>
      <c r="F115"/>
      <c r="G115"/>
      <c r="H115"/>
      <c r="I115"/>
      <c r="J115"/>
      <c r="K115"/>
      <c r="L115"/>
      <c r="M115"/>
      <c r="N115"/>
      <c r="O115"/>
      <c r="P115"/>
      <c r="Q115"/>
      <c r="R115"/>
      <c r="S115"/>
      <c r="T115"/>
    </row>
    <row r="116" spans="1:31" ht="14.4" x14ac:dyDescent="0.3">
      <c r="A116" t="s">
        <v>1442</v>
      </c>
      <c r="B116">
        <v>0</v>
      </c>
      <c r="C116">
        <v>0</v>
      </c>
      <c r="D116">
        <v>0</v>
      </c>
      <c r="E116">
        <v>0</v>
      </c>
      <c r="F116"/>
      <c r="G116"/>
      <c r="H116"/>
      <c r="I116"/>
      <c r="J116"/>
      <c r="K116"/>
      <c r="L116"/>
      <c r="M116"/>
      <c r="N116"/>
      <c r="O116"/>
      <c r="P116"/>
      <c r="Q116"/>
      <c r="R116"/>
      <c r="S116"/>
      <c r="T116"/>
    </row>
    <row r="117" spans="1:31" ht="14.4" x14ac:dyDescent="0.3">
      <c r="A117" t="s">
        <v>1443</v>
      </c>
      <c r="B117">
        <v>0</v>
      </c>
      <c r="C117">
        <v>0</v>
      </c>
      <c r="D117">
        <v>0</v>
      </c>
      <c r="E117">
        <v>0</v>
      </c>
      <c r="F117"/>
      <c r="G117"/>
      <c r="H117"/>
      <c r="I117"/>
      <c r="J117"/>
      <c r="K117"/>
      <c r="L117"/>
      <c r="M117"/>
      <c r="N117"/>
      <c r="O117"/>
      <c r="P117"/>
      <c r="Q117"/>
      <c r="R117"/>
      <c r="S117"/>
      <c r="T117"/>
    </row>
    <row r="118" spans="1:31" ht="14.4" x14ac:dyDescent="0.3">
      <c r="A118" t="s">
        <v>1444</v>
      </c>
      <c r="B118">
        <v>7500</v>
      </c>
      <c r="C118">
        <v>0</v>
      </c>
      <c r="D118">
        <v>0</v>
      </c>
      <c r="E118">
        <v>0</v>
      </c>
      <c r="F118"/>
      <c r="G118"/>
      <c r="H118"/>
      <c r="I118"/>
      <c r="J118"/>
      <c r="K118"/>
      <c r="L118"/>
      <c r="M118"/>
      <c r="N118"/>
      <c r="O118"/>
      <c r="P118"/>
      <c r="Q118"/>
      <c r="R118"/>
      <c r="S118"/>
      <c r="T118"/>
    </row>
    <row r="119" spans="1:31" ht="14.4" x14ac:dyDescent="0.3">
      <c r="A119" t="s">
        <v>1445</v>
      </c>
      <c r="B119">
        <v>0</v>
      </c>
      <c r="C119">
        <v>0</v>
      </c>
      <c r="D119">
        <v>0</v>
      </c>
      <c r="E119">
        <v>0</v>
      </c>
      <c r="F119"/>
      <c r="G119"/>
      <c r="H119"/>
      <c r="I119"/>
      <c r="J119"/>
      <c r="K119"/>
      <c r="L119"/>
      <c r="M119"/>
      <c r="N119"/>
      <c r="O119"/>
      <c r="P119"/>
      <c r="Q119"/>
      <c r="R119"/>
      <c r="S119"/>
      <c r="T119"/>
      <c r="U119" s="2"/>
      <c r="V119" s="2"/>
      <c r="W119" s="2"/>
    </row>
    <row r="120" spans="1:31" ht="14.4" x14ac:dyDescent="0.3">
      <c r="A120" t="s">
        <v>1446</v>
      </c>
      <c r="B120">
        <v>28282</v>
      </c>
      <c r="C120">
        <v>0</v>
      </c>
      <c r="D120">
        <v>0</v>
      </c>
      <c r="E120">
        <v>0</v>
      </c>
      <c r="F120"/>
      <c r="G120"/>
      <c r="H120"/>
      <c r="I120"/>
      <c r="J120"/>
      <c r="K120"/>
      <c r="L120"/>
      <c r="M120"/>
      <c r="N120"/>
      <c r="O120"/>
      <c r="P120"/>
      <c r="Q120"/>
      <c r="R120"/>
      <c r="S120"/>
      <c r="T120"/>
      <c r="U120"/>
      <c r="V120"/>
      <c r="W120"/>
      <c r="X120"/>
      <c r="Y120"/>
      <c r="Z120"/>
      <c r="AA120"/>
      <c r="AB120"/>
      <c r="AC120"/>
      <c r="AD120"/>
      <c r="AE120"/>
    </row>
    <row r="121" spans="1:31" ht="14.4" x14ac:dyDescent="0.3">
      <c r="A121" t="s">
        <v>1447</v>
      </c>
      <c r="B121">
        <v>0</v>
      </c>
      <c r="C121">
        <v>0</v>
      </c>
      <c r="D121">
        <v>0</v>
      </c>
      <c r="E121">
        <v>0</v>
      </c>
      <c r="F121"/>
      <c r="G121"/>
      <c r="H121"/>
      <c r="I121"/>
      <c r="J121"/>
      <c r="K121"/>
      <c r="L121"/>
      <c r="M121"/>
      <c r="N121"/>
      <c r="O121"/>
      <c r="P121"/>
      <c r="Q121"/>
      <c r="R121"/>
      <c r="S121"/>
      <c r="T121"/>
      <c r="U121"/>
      <c r="V121"/>
      <c r="W121"/>
      <c r="X121"/>
      <c r="Y121"/>
      <c r="Z121"/>
      <c r="AA121"/>
      <c r="AB121"/>
      <c r="AC121"/>
      <c r="AD121"/>
      <c r="AE121"/>
    </row>
    <row r="122" spans="1:31" ht="14.4" x14ac:dyDescent="0.3">
      <c r="A122" t="s">
        <v>1448</v>
      </c>
      <c r="B122">
        <v>139840</v>
      </c>
      <c r="C122">
        <v>0</v>
      </c>
      <c r="D122">
        <v>0</v>
      </c>
      <c r="E122">
        <v>0</v>
      </c>
      <c r="F122"/>
      <c r="G122"/>
      <c r="H122"/>
      <c r="I122"/>
      <c r="J122"/>
      <c r="K122"/>
      <c r="L122"/>
      <c r="M122"/>
      <c r="N122"/>
      <c r="O122"/>
      <c r="P122"/>
      <c r="Q122"/>
      <c r="R122"/>
      <c r="S122"/>
      <c r="T122"/>
      <c r="U122"/>
      <c r="V122"/>
      <c r="W122"/>
      <c r="X122"/>
      <c r="Y122"/>
      <c r="Z122"/>
      <c r="AA122"/>
      <c r="AB122"/>
      <c r="AC122"/>
      <c r="AD122"/>
      <c r="AE122"/>
    </row>
    <row r="123" spans="1:31" ht="14.4" x14ac:dyDescent="0.3">
      <c r="A123" t="s">
        <v>1449</v>
      </c>
      <c r="B123">
        <v>0</v>
      </c>
      <c r="C123">
        <v>0</v>
      </c>
      <c r="D123">
        <v>0</v>
      </c>
      <c r="E123">
        <v>0</v>
      </c>
      <c r="F123"/>
      <c r="G123"/>
      <c r="H123"/>
      <c r="I123"/>
      <c r="J123"/>
      <c r="K123"/>
      <c r="L123"/>
      <c r="M123"/>
      <c r="N123"/>
      <c r="O123"/>
      <c r="P123"/>
      <c r="Q123"/>
      <c r="R123"/>
      <c r="S123"/>
      <c r="T123"/>
      <c r="U123"/>
      <c r="V123"/>
      <c r="W123"/>
      <c r="X123"/>
      <c r="Y123"/>
      <c r="Z123"/>
      <c r="AA123"/>
      <c r="AB123"/>
      <c r="AC123"/>
      <c r="AD123"/>
      <c r="AE123"/>
    </row>
    <row r="124" spans="1:31" ht="14.4" x14ac:dyDescent="0.3">
      <c r="A124" t="s">
        <v>1450</v>
      </c>
      <c r="B124">
        <v>0</v>
      </c>
      <c r="C124">
        <v>0</v>
      </c>
      <c r="D124">
        <v>0</v>
      </c>
      <c r="E124">
        <v>0</v>
      </c>
      <c r="F124"/>
      <c r="G124"/>
      <c r="H124"/>
      <c r="I124"/>
      <c r="J124"/>
      <c r="K124"/>
      <c r="L124"/>
      <c r="M124"/>
      <c r="N124"/>
      <c r="O124"/>
      <c r="P124"/>
      <c r="Q124"/>
      <c r="R124"/>
      <c r="S124"/>
      <c r="T124"/>
      <c r="U124"/>
      <c r="V124"/>
      <c r="W124"/>
      <c r="X124"/>
      <c r="Y124"/>
      <c r="Z124"/>
      <c r="AA124"/>
      <c r="AB124"/>
      <c r="AC124"/>
      <c r="AD124"/>
      <c r="AE124"/>
    </row>
    <row r="125" spans="1:31" ht="14.4" x14ac:dyDescent="0.3">
      <c r="A125" t="s">
        <v>1451</v>
      </c>
      <c r="B125">
        <v>0</v>
      </c>
      <c r="C125">
        <v>0</v>
      </c>
      <c r="D125">
        <v>0</v>
      </c>
      <c r="E125">
        <v>0</v>
      </c>
      <c r="F125"/>
      <c r="G125"/>
      <c r="H125"/>
      <c r="I125"/>
      <c r="J125"/>
      <c r="K125"/>
      <c r="L125"/>
      <c r="M125"/>
      <c r="N125"/>
      <c r="O125"/>
      <c r="P125"/>
      <c r="Q125"/>
      <c r="R125"/>
      <c r="S125"/>
      <c r="T125"/>
      <c r="U125"/>
      <c r="V125"/>
      <c r="W125"/>
      <c r="X125"/>
      <c r="Y125"/>
      <c r="Z125"/>
      <c r="AA125"/>
      <c r="AB125"/>
      <c r="AC125"/>
      <c r="AD125"/>
      <c r="AE125"/>
    </row>
    <row r="126" spans="1:31" ht="14.4" x14ac:dyDescent="0.3">
      <c r="A126" t="s">
        <v>1452</v>
      </c>
      <c r="B126">
        <v>192622</v>
      </c>
      <c r="C126">
        <v>0</v>
      </c>
      <c r="D126">
        <v>0</v>
      </c>
      <c r="E126">
        <v>0</v>
      </c>
      <c r="F126"/>
      <c r="G126"/>
      <c r="H126"/>
      <c r="I126"/>
      <c r="J126"/>
      <c r="K126"/>
      <c r="L126"/>
      <c r="M126"/>
      <c r="N126"/>
      <c r="O126"/>
      <c r="P126"/>
      <c r="Q126"/>
      <c r="R126"/>
      <c r="S126"/>
      <c r="T126"/>
    </row>
    <row r="127" spans="1:31" ht="14.4" x14ac:dyDescent="0.3">
      <c r="A127" t="s">
        <v>1453</v>
      </c>
      <c r="B127">
        <v>899</v>
      </c>
      <c r="C127">
        <v>0</v>
      </c>
      <c r="D127">
        <v>0</v>
      </c>
      <c r="E127">
        <v>0</v>
      </c>
      <c r="F127"/>
      <c r="G127"/>
      <c r="H127"/>
      <c r="I127"/>
      <c r="J127"/>
      <c r="K127"/>
      <c r="L127"/>
      <c r="M127"/>
      <c r="N127"/>
      <c r="O127"/>
      <c r="P127"/>
      <c r="Q127"/>
      <c r="R127"/>
      <c r="S127"/>
      <c r="T127"/>
    </row>
    <row r="128" spans="1:31" ht="14.4" x14ac:dyDescent="0.3">
      <c r="A128" t="s">
        <v>1454</v>
      </c>
      <c r="B128">
        <v>354372</v>
      </c>
      <c r="C128">
        <v>0</v>
      </c>
      <c r="D128">
        <v>0</v>
      </c>
      <c r="E128">
        <v>0</v>
      </c>
      <c r="F128"/>
      <c r="G128"/>
      <c r="H128"/>
      <c r="I128"/>
      <c r="J128"/>
      <c r="K128"/>
      <c r="L128"/>
      <c r="M128"/>
      <c r="N128"/>
      <c r="O128"/>
      <c r="P128"/>
      <c r="Q128"/>
      <c r="R128"/>
      <c r="S128"/>
      <c r="T128"/>
    </row>
    <row r="129" spans="1:20" ht="14.4" x14ac:dyDescent="0.3">
      <c r="A129" t="s">
        <v>1455</v>
      </c>
      <c r="B129">
        <v>0</v>
      </c>
      <c r="C129">
        <v>0</v>
      </c>
      <c r="D129">
        <v>0</v>
      </c>
      <c r="E129">
        <v>0</v>
      </c>
      <c r="F129"/>
      <c r="G129"/>
      <c r="H129"/>
      <c r="I129"/>
      <c r="J129"/>
      <c r="K129"/>
      <c r="L129"/>
      <c r="M129"/>
      <c r="N129"/>
      <c r="O129"/>
      <c r="P129"/>
      <c r="Q129"/>
      <c r="R129"/>
      <c r="S129"/>
      <c r="T129"/>
    </row>
    <row r="130" spans="1:20" ht="14.4" x14ac:dyDescent="0.3">
      <c r="A130" t="s">
        <v>1456</v>
      </c>
      <c r="B130">
        <v>2100</v>
      </c>
      <c r="C130">
        <v>0</v>
      </c>
      <c r="D130">
        <v>0</v>
      </c>
      <c r="E130">
        <v>0</v>
      </c>
      <c r="F130"/>
      <c r="G130"/>
      <c r="H130"/>
      <c r="I130"/>
      <c r="J130"/>
      <c r="K130"/>
      <c r="L130"/>
      <c r="M130"/>
      <c r="N130"/>
      <c r="O130"/>
      <c r="P130"/>
      <c r="Q130"/>
      <c r="R130"/>
      <c r="S130"/>
      <c r="T130"/>
    </row>
    <row r="131" spans="1:20" ht="14.4" x14ac:dyDescent="0.3">
      <c r="A131" t="s">
        <v>1457</v>
      </c>
      <c r="B131">
        <v>0</v>
      </c>
      <c r="C131">
        <v>0</v>
      </c>
      <c r="D131">
        <v>0</v>
      </c>
      <c r="E131">
        <v>0</v>
      </c>
      <c r="F131"/>
      <c r="G131"/>
      <c r="H131"/>
      <c r="I131"/>
      <c r="J131"/>
      <c r="K131"/>
      <c r="L131"/>
      <c r="M131"/>
      <c r="N131"/>
      <c r="O131"/>
      <c r="P131"/>
      <c r="Q131"/>
      <c r="R131"/>
      <c r="S131"/>
      <c r="T131"/>
    </row>
    <row r="132" spans="1:20" ht="14.4" x14ac:dyDescent="0.3">
      <c r="A132" t="s">
        <v>1458</v>
      </c>
      <c r="B132">
        <v>0</v>
      </c>
      <c r="C132">
        <v>0</v>
      </c>
      <c r="D132">
        <v>0</v>
      </c>
      <c r="E132">
        <v>0</v>
      </c>
      <c r="F132"/>
      <c r="G132"/>
      <c r="H132"/>
      <c r="I132"/>
      <c r="J132"/>
      <c r="K132"/>
      <c r="L132"/>
      <c r="M132"/>
      <c r="N132"/>
      <c r="O132"/>
      <c r="P132"/>
      <c r="Q132"/>
      <c r="R132"/>
      <c r="S132"/>
      <c r="T132"/>
    </row>
    <row r="133" spans="1:20" ht="14.4" x14ac:dyDescent="0.3">
      <c r="A133" t="s">
        <v>1459</v>
      </c>
      <c r="B133">
        <v>0</v>
      </c>
      <c r="C133">
        <v>0</v>
      </c>
      <c r="D133">
        <v>0</v>
      </c>
      <c r="E133">
        <v>0</v>
      </c>
      <c r="F133"/>
      <c r="G133"/>
      <c r="H133"/>
      <c r="I133"/>
      <c r="J133"/>
      <c r="K133"/>
      <c r="L133"/>
      <c r="M133"/>
      <c r="N133"/>
      <c r="O133"/>
      <c r="P133"/>
      <c r="Q133"/>
      <c r="R133"/>
      <c r="S133"/>
      <c r="T133"/>
    </row>
    <row r="134" spans="1:20" ht="14.4" x14ac:dyDescent="0.3">
      <c r="A134" t="s">
        <v>1460</v>
      </c>
      <c r="B134">
        <v>0</v>
      </c>
      <c r="C134">
        <v>0</v>
      </c>
      <c r="D134">
        <v>0</v>
      </c>
      <c r="E134">
        <v>0</v>
      </c>
      <c r="F134"/>
      <c r="G134"/>
      <c r="H134"/>
      <c r="I134"/>
      <c r="J134"/>
      <c r="K134"/>
      <c r="L134"/>
      <c r="M134"/>
      <c r="N134"/>
      <c r="O134"/>
      <c r="P134"/>
      <c r="Q134"/>
      <c r="R134"/>
      <c r="S134"/>
      <c r="T134"/>
    </row>
    <row r="135" spans="1:20" ht="14.4" x14ac:dyDescent="0.3">
      <c r="A135" t="s">
        <v>1461</v>
      </c>
      <c r="B135">
        <v>14098</v>
      </c>
      <c r="C135">
        <v>0</v>
      </c>
      <c r="D135">
        <v>0</v>
      </c>
      <c r="E135">
        <v>0</v>
      </c>
      <c r="F135"/>
      <c r="G135"/>
      <c r="H135"/>
      <c r="I135"/>
      <c r="J135"/>
      <c r="K135"/>
      <c r="L135"/>
      <c r="M135"/>
      <c r="N135"/>
      <c r="O135"/>
      <c r="P135"/>
      <c r="Q135"/>
      <c r="R135"/>
      <c r="S135"/>
      <c r="T135"/>
    </row>
    <row r="136" spans="1:20" ht="14.4" x14ac:dyDescent="0.3">
      <c r="A136" t="s">
        <v>1462</v>
      </c>
      <c r="B136">
        <v>900</v>
      </c>
      <c r="C136">
        <v>0</v>
      </c>
      <c r="D136">
        <v>0</v>
      </c>
      <c r="E136">
        <v>0</v>
      </c>
      <c r="F136"/>
      <c r="G136"/>
      <c r="H136"/>
      <c r="I136"/>
      <c r="J136"/>
      <c r="K136"/>
      <c r="L136"/>
      <c r="M136"/>
      <c r="N136"/>
      <c r="O136"/>
      <c r="P136"/>
      <c r="Q136"/>
      <c r="R136"/>
      <c r="S136"/>
      <c r="T136"/>
    </row>
    <row r="137" spans="1:20" ht="14.4" x14ac:dyDescent="0.3">
      <c r="A137" t="s">
        <v>1463</v>
      </c>
      <c r="B137">
        <v>0</v>
      </c>
      <c r="C137">
        <v>0</v>
      </c>
      <c r="D137">
        <v>0</v>
      </c>
      <c r="E137">
        <v>0</v>
      </c>
      <c r="F137"/>
      <c r="G137"/>
      <c r="H137"/>
      <c r="I137"/>
      <c r="J137"/>
      <c r="K137"/>
      <c r="L137"/>
      <c r="M137"/>
      <c r="N137"/>
      <c r="O137"/>
      <c r="P137"/>
      <c r="Q137"/>
      <c r="R137"/>
      <c r="S137"/>
      <c r="T137"/>
    </row>
    <row r="138" spans="1:20" ht="14.4" x14ac:dyDescent="0.3">
      <c r="A138" t="s">
        <v>1464</v>
      </c>
      <c r="B138">
        <v>76030</v>
      </c>
      <c r="C138">
        <v>0</v>
      </c>
      <c r="D138">
        <v>0</v>
      </c>
      <c r="E138">
        <v>0</v>
      </c>
      <c r="F138"/>
      <c r="G138"/>
      <c r="H138"/>
      <c r="I138"/>
      <c r="J138"/>
      <c r="K138"/>
      <c r="L138"/>
      <c r="M138"/>
      <c r="N138"/>
      <c r="O138"/>
      <c r="P138"/>
      <c r="Q138"/>
      <c r="R138"/>
      <c r="S138"/>
      <c r="T138"/>
    </row>
    <row r="139" spans="1:20" ht="14.4" x14ac:dyDescent="0.3">
      <c r="A139" t="s">
        <v>1465</v>
      </c>
      <c r="B139">
        <v>622274</v>
      </c>
      <c r="C139">
        <v>0</v>
      </c>
      <c r="D139">
        <v>0</v>
      </c>
      <c r="E139">
        <v>0</v>
      </c>
      <c r="F139"/>
      <c r="G139"/>
      <c r="H139"/>
      <c r="I139"/>
      <c r="J139"/>
      <c r="K139"/>
      <c r="L139"/>
      <c r="M139"/>
      <c r="N139"/>
      <c r="O139"/>
      <c r="P139"/>
      <c r="Q139"/>
      <c r="R139"/>
      <c r="S139"/>
      <c r="T139"/>
    </row>
    <row r="140" spans="1:20" ht="14.4" x14ac:dyDescent="0.3">
      <c r="A140" t="s">
        <v>1466</v>
      </c>
      <c r="B140">
        <v>55542</v>
      </c>
      <c r="C140">
        <v>0</v>
      </c>
      <c r="D140">
        <v>0</v>
      </c>
      <c r="E140">
        <v>0</v>
      </c>
      <c r="F140"/>
      <c r="G140"/>
      <c r="H140"/>
      <c r="I140"/>
      <c r="J140"/>
      <c r="K140"/>
      <c r="L140"/>
      <c r="M140"/>
      <c r="N140"/>
      <c r="O140"/>
      <c r="P140"/>
      <c r="Q140"/>
      <c r="R140"/>
      <c r="S140"/>
      <c r="T140"/>
    </row>
    <row r="141" spans="1:20" ht="14.4" x14ac:dyDescent="0.3">
      <c r="A141" t="s">
        <v>1467</v>
      </c>
      <c r="B141">
        <v>105106</v>
      </c>
      <c r="C141">
        <v>0</v>
      </c>
      <c r="D141">
        <v>0</v>
      </c>
      <c r="E141">
        <v>0</v>
      </c>
      <c r="F141"/>
      <c r="G141"/>
      <c r="H141"/>
      <c r="I141"/>
      <c r="J141"/>
      <c r="K141"/>
      <c r="L141"/>
      <c r="M141"/>
      <c r="N141"/>
      <c r="O141"/>
      <c r="P141"/>
      <c r="Q141"/>
      <c r="R141"/>
      <c r="S141"/>
      <c r="T141"/>
    </row>
    <row r="142" spans="1:20" ht="14.4" x14ac:dyDescent="0.3">
      <c r="A142" t="s">
        <v>1468</v>
      </c>
      <c r="B142">
        <v>162801</v>
      </c>
      <c r="C142">
        <v>0</v>
      </c>
      <c r="D142">
        <v>0</v>
      </c>
      <c r="E142">
        <v>0</v>
      </c>
      <c r="F142"/>
      <c r="G142"/>
      <c r="H142"/>
      <c r="I142"/>
      <c r="J142"/>
      <c r="K142"/>
      <c r="L142"/>
      <c r="M142"/>
      <c r="N142"/>
      <c r="O142"/>
      <c r="P142"/>
      <c r="Q142"/>
      <c r="R142"/>
      <c r="S142"/>
      <c r="T142"/>
    </row>
    <row r="143" spans="1:20" ht="14.4" x14ac:dyDescent="0.3">
      <c r="A143" t="s">
        <v>1469</v>
      </c>
      <c r="B143">
        <v>0</v>
      </c>
      <c r="C143">
        <v>0</v>
      </c>
      <c r="D143">
        <v>0</v>
      </c>
      <c r="E143">
        <v>0</v>
      </c>
      <c r="F143"/>
      <c r="G143"/>
      <c r="H143"/>
      <c r="I143"/>
      <c r="J143"/>
      <c r="K143"/>
      <c r="L143"/>
      <c r="M143"/>
      <c r="N143"/>
      <c r="O143"/>
      <c r="P143"/>
      <c r="Q143"/>
      <c r="R143"/>
      <c r="S143"/>
      <c r="T143"/>
    </row>
    <row r="144" spans="1:20" ht="14.4" x14ac:dyDescent="0.3">
      <c r="A144" t="s">
        <v>1470</v>
      </c>
      <c r="B144">
        <v>0</v>
      </c>
      <c r="C144">
        <v>0</v>
      </c>
      <c r="D144">
        <v>0</v>
      </c>
      <c r="E144">
        <v>0</v>
      </c>
      <c r="F144"/>
      <c r="G144"/>
      <c r="H144"/>
      <c r="I144"/>
      <c r="J144"/>
      <c r="K144"/>
      <c r="L144"/>
      <c r="M144"/>
      <c r="N144"/>
      <c r="O144"/>
      <c r="P144"/>
      <c r="Q144"/>
      <c r="R144"/>
      <c r="S144"/>
      <c r="T144"/>
    </row>
    <row r="145" spans="1:20" ht="14.4" x14ac:dyDescent="0.3">
      <c r="A145" t="s">
        <v>1471</v>
      </c>
      <c r="B145">
        <v>5210</v>
      </c>
      <c r="C145">
        <v>0</v>
      </c>
      <c r="D145">
        <v>0</v>
      </c>
      <c r="E145">
        <v>0</v>
      </c>
      <c r="F145"/>
      <c r="G145"/>
      <c r="H145"/>
      <c r="I145"/>
      <c r="J145"/>
      <c r="K145"/>
      <c r="L145"/>
      <c r="M145"/>
      <c r="N145"/>
      <c r="O145"/>
      <c r="P145"/>
      <c r="Q145"/>
      <c r="R145"/>
      <c r="S145"/>
      <c r="T145"/>
    </row>
    <row r="146" spans="1:20" ht="14.4" x14ac:dyDescent="0.3">
      <c r="A146" t="s">
        <v>1472</v>
      </c>
      <c r="B146">
        <v>2146</v>
      </c>
      <c r="C146">
        <v>0</v>
      </c>
      <c r="D146">
        <v>0</v>
      </c>
      <c r="E146">
        <v>0</v>
      </c>
      <c r="F146"/>
      <c r="G146"/>
      <c r="H146"/>
      <c r="I146"/>
      <c r="J146"/>
      <c r="K146"/>
      <c r="L146"/>
      <c r="M146"/>
      <c r="N146"/>
      <c r="O146"/>
      <c r="P146"/>
      <c r="Q146"/>
      <c r="R146"/>
      <c r="S146"/>
      <c r="T146"/>
    </row>
    <row r="147" spans="1:20" ht="14.4" x14ac:dyDescent="0.3">
      <c r="A147" t="s">
        <v>1473</v>
      </c>
      <c r="B147">
        <v>19907</v>
      </c>
      <c r="C147">
        <v>0</v>
      </c>
      <c r="D147">
        <v>0</v>
      </c>
      <c r="E147">
        <v>0</v>
      </c>
      <c r="F147"/>
      <c r="G147"/>
      <c r="H147"/>
      <c r="I147"/>
      <c r="J147"/>
      <c r="K147"/>
      <c r="L147"/>
      <c r="M147"/>
      <c r="N147"/>
      <c r="O147"/>
      <c r="P147"/>
      <c r="Q147"/>
      <c r="R147"/>
      <c r="S147"/>
      <c r="T147"/>
    </row>
    <row r="148" spans="1:20" ht="14.4" x14ac:dyDescent="0.3">
      <c r="A148" t="s">
        <v>1474</v>
      </c>
      <c r="B148">
        <v>21506</v>
      </c>
      <c r="C148">
        <v>0</v>
      </c>
      <c r="D148">
        <v>0</v>
      </c>
      <c r="E148">
        <v>0</v>
      </c>
      <c r="F148"/>
      <c r="G148"/>
      <c r="H148"/>
      <c r="I148"/>
      <c r="J148"/>
      <c r="K148"/>
      <c r="L148"/>
      <c r="M148"/>
      <c r="N148"/>
      <c r="O148"/>
      <c r="P148"/>
      <c r="Q148"/>
      <c r="R148"/>
      <c r="S148"/>
      <c r="T148"/>
    </row>
    <row r="149" spans="1:20" ht="14.4" x14ac:dyDescent="0.3">
      <c r="A149" t="s">
        <v>1475</v>
      </c>
      <c r="B149">
        <v>0</v>
      </c>
      <c r="C149">
        <v>0</v>
      </c>
      <c r="D149">
        <v>0</v>
      </c>
      <c r="E149">
        <v>0</v>
      </c>
      <c r="F149"/>
      <c r="G149"/>
      <c r="H149"/>
      <c r="I149"/>
      <c r="J149"/>
      <c r="K149"/>
      <c r="L149"/>
      <c r="M149"/>
      <c r="N149"/>
      <c r="O149"/>
      <c r="P149"/>
      <c r="Q149"/>
      <c r="R149"/>
      <c r="S149"/>
      <c r="T149"/>
    </row>
    <row r="150" spans="1:20" ht="14.4" x14ac:dyDescent="0.3">
      <c r="A150" t="s">
        <v>1476</v>
      </c>
      <c r="B150">
        <v>11105</v>
      </c>
      <c r="C150">
        <v>0</v>
      </c>
      <c r="D150">
        <v>0</v>
      </c>
      <c r="E150">
        <v>0</v>
      </c>
      <c r="F150"/>
      <c r="G150"/>
      <c r="H150"/>
      <c r="I150"/>
      <c r="J150"/>
      <c r="K150"/>
      <c r="L150"/>
      <c r="M150"/>
      <c r="N150"/>
      <c r="O150"/>
      <c r="P150"/>
      <c r="Q150"/>
      <c r="R150"/>
      <c r="S150"/>
      <c r="T150"/>
    </row>
    <row r="151" spans="1:20" ht="14.4" x14ac:dyDescent="0.3">
      <c r="A151" t="s">
        <v>1477</v>
      </c>
      <c r="B151">
        <v>0</v>
      </c>
      <c r="C151">
        <v>0</v>
      </c>
      <c r="D151">
        <v>0</v>
      </c>
      <c r="E151">
        <v>0</v>
      </c>
      <c r="F151"/>
      <c r="G151"/>
      <c r="H151"/>
      <c r="I151"/>
      <c r="J151"/>
      <c r="K151"/>
      <c r="L151"/>
      <c r="M151"/>
      <c r="N151"/>
      <c r="O151"/>
      <c r="P151"/>
      <c r="Q151"/>
      <c r="R151"/>
      <c r="S151"/>
      <c r="T151"/>
    </row>
    <row r="152" spans="1:20" ht="14.4" x14ac:dyDescent="0.3">
      <c r="A152" t="s">
        <v>1478</v>
      </c>
      <c r="B152">
        <v>0</v>
      </c>
      <c r="C152">
        <v>0</v>
      </c>
      <c r="D152">
        <v>0</v>
      </c>
      <c r="E152">
        <v>0</v>
      </c>
      <c r="F152"/>
      <c r="G152"/>
      <c r="H152"/>
      <c r="I152"/>
      <c r="J152"/>
      <c r="K152"/>
      <c r="L152"/>
      <c r="M152"/>
      <c r="N152"/>
      <c r="O152"/>
      <c r="P152"/>
      <c r="Q152"/>
      <c r="R152"/>
      <c r="S152"/>
      <c r="T152"/>
    </row>
    <row r="153" spans="1:20" ht="14.4" x14ac:dyDescent="0.3">
      <c r="A153" t="s">
        <v>1479</v>
      </c>
      <c r="B153">
        <v>1500</v>
      </c>
      <c r="C153">
        <v>0</v>
      </c>
      <c r="D153">
        <v>0</v>
      </c>
      <c r="E153">
        <v>0</v>
      </c>
      <c r="F153"/>
      <c r="G153"/>
      <c r="H153"/>
      <c r="I153"/>
      <c r="J153"/>
      <c r="K153"/>
      <c r="L153"/>
      <c r="M153"/>
      <c r="N153"/>
      <c r="O153"/>
      <c r="P153"/>
      <c r="Q153"/>
      <c r="R153"/>
      <c r="S153"/>
      <c r="T153"/>
    </row>
    <row r="154" spans="1:20" ht="14.4" x14ac:dyDescent="0.3">
      <c r="A154" t="s">
        <v>1480</v>
      </c>
      <c r="B154">
        <v>0</v>
      </c>
      <c r="C154">
        <v>0</v>
      </c>
      <c r="D154">
        <v>0</v>
      </c>
      <c r="E154">
        <v>0</v>
      </c>
      <c r="F154"/>
      <c r="G154"/>
      <c r="H154"/>
      <c r="I154"/>
      <c r="J154"/>
      <c r="K154"/>
      <c r="L154"/>
      <c r="M154"/>
      <c r="N154"/>
      <c r="O154"/>
      <c r="P154"/>
      <c r="Q154"/>
      <c r="R154"/>
      <c r="S154"/>
      <c r="T154"/>
    </row>
    <row r="155" spans="1:20" ht="14.4" x14ac:dyDescent="0.3">
      <c r="A155" t="s">
        <v>1481</v>
      </c>
      <c r="B155">
        <v>755</v>
      </c>
      <c r="C155">
        <v>0</v>
      </c>
      <c r="D155">
        <v>0</v>
      </c>
      <c r="E155">
        <v>0</v>
      </c>
      <c r="F155"/>
      <c r="G155"/>
      <c r="H155"/>
      <c r="I155"/>
      <c r="J155"/>
      <c r="K155"/>
      <c r="L155"/>
      <c r="M155"/>
      <c r="N155"/>
      <c r="O155"/>
      <c r="P155"/>
      <c r="Q155"/>
      <c r="R155"/>
      <c r="S155"/>
      <c r="T155"/>
    </row>
    <row r="156" spans="1:20" ht="14.4" x14ac:dyDescent="0.3">
      <c r="A156"/>
      <c r="B156"/>
      <c r="C156"/>
      <c r="D156"/>
      <c r="E156"/>
      <c r="F156"/>
      <c r="G156"/>
      <c r="H156"/>
      <c r="I156"/>
      <c r="J156"/>
      <c r="K156"/>
      <c r="L156"/>
      <c r="M156"/>
      <c r="N156"/>
      <c r="O156"/>
      <c r="P156"/>
      <c r="Q156"/>
      <c r="R156"/>
      <c r="S156"/>
      <c r="T156"/>
    </row>
    <row r="157" spans="1:20" ht="14.4" x14ac:dyDescent="0.3">
      <c r="A157"/>
      <c r="B157"/>
      <c r="C157"/>
      <c r="D157"/>
      <c r="E157"/>
      <c r="F157"/>
      <c r="G157"/>
      <c r="H157"/>
      <c r="I157"/>
      <c r="J157"/>
      <c r="K157"/>
      <c r="L157"/>
      <c r="M157"/>
      <c r="N157"/>
      <c r="O157"/>
      <c r="P157"/>
      <c r="Q157"/>
      <c r="R157"/>
      <c r="S157"/>
      <c r="T157"/>
    </row>
    <row r="158" spans="1:20" ht="14.4" x14ac:dyDescent="0.3">
      <c r="A158"/>
      <c r="B158"/>
      <c r="C158"/>
      <c r="D158"/>
      <c r="E158"/>
      <c r="F158"/>
      <c r="G158"/>
      <c r="H158"/>
      <c r="I158"/>
      <c r="J158"/>
      <c r="K158"/>
      <c r="L158"/>
      <c r="M158"/>
      <c r="N158"/>
      <c r="O158"/>
      <c r="P158"/>
      <c r="Q158"/>
      <c r="R158"/>
      <c r="S158"/>
      <c r="T158"/>
    </row>
    <row r="159" spans="1:20" ht="14.4" x14ac:dyDescent="0.3">
      <c r="A159"/>
      <c r="B159"/>
      <c r="C159"/>
      <c r="D159"/>
      <c r="E159"/>
      <c r="F159"/>
      <c r="G159"/>
      <c r="H159"/>
      <c r="I159"/>
      <c r="J159"/>
      <c r="K159"/>
      <c r="L159"/>
      <c r="M159"/>
      <c r="N159"/>
      <c r="O159"/>
      <c r="P159"/>
      <c r="Q159"/>
      <c r="R159"/>
      <c r="S159"/>
      <c r="T159"/>
    </row>
    <row r="160" spans="1:20" ht="14.4" x14ac:dyDescent="0.3">
      <c r="A160"/>
      <c r="B160"/>
      <c r="C160"/>
      <c r="D160"/>
      <c r="E160"/>
      <c r="F160"/>
      <c r="G160"/>
      <c r="H160"/>
      <c r="I160"/>
      <c r="J160"/>
      <c r="K160"/>
      <c r="L160"/>
      <c r="M160"/>
      <c r="N160"/>
      <c r="O160"/>
      <c r="P160"/>
      <c r="Q160"/>
      <c r="R160"/>
      <c r="S160"/>
      <c r="T160"/>
    </row>
    <row r="161" spans="1:20" ht="14.4" x14ac:dyDescent="0.3">
      <c r="A161"/>
      <c r="B161"/>
      <c r="C161"/>
      <c r="D161"/>
      <c r="E161"/>
      <c r="F161"/>
      <c r="G161"/>
      <c r="H161"/>
      <c r="I161"/>
      <c r="J161"/>
      <c r="K161"/>
      <c r="L161"/>
      <c r="M161"/>
      <c r="N161"/>
      <c r="O161"/>
      <c r="P161"/>
      <c r="Q161"/>
      <c r="R161"/>
      <c r="S161"/>
      <c r="T161"/>
    </row>
    <row r="162" spans="1:20" ht="14.4" x14ac:dyDescent="0.3">
      <c r="A162"/>
      <c r="B162"/>
      <c r="C162"/>
      <c r="D162"/>
      <c r="E162"/>
      <c r="F162"/>
      <c r="G162"/>
      <c r="H162"/>
      <c r="I162"/>
      <c r="J162"/>
      <c r="K162"/>
      <c r="L162"/>
      <c r="M162"/>
      <c r="N162"/>
      <c r="O162"/>
      <c r="P162"/>
      <c r="Q162"/>
      <c r="R162"/>
      <c r="S162"/>
      <c r="T162"/>
    </row>
    <row r="163" spans="1:20" ht="14.4" x14ac:dyDescent="0.3">
      <c r="A163"/>
      <c r="B163"/>
      <c r="C163"/>
      <c r="D163"/>
      <c r="E163"/>
      <c r="F163"/>
      <c r="G163"/>
      <c r="H163"/>
      <c r="I163"/>
      <c r="J163"/>
      <c r="K163"/>
      <c r="L163"/>
      <c r="M163"/>
      <c r="N163"/>
      <c r="O163"/>
      <c r="P163"/>
      <c r="Q163"/>
      <c r="R163"/>
      <c r="S163"/>
      <c r="T163"/>
    </row>
    <row r="164" spans="1:20" ht="14.4" x14ac:dyDescent="0.3">
      <c r="A164" t="s">
        <v>1483</v>
      </c>
      <c r="B164"/>
      <c r="C164"/>
      <c r="D164"/>
      <c r="E164"/>
      <c r="F164"/>
      <c r="G164"/>
      <c r="H164"/>
      <c r="I164"/>
      <c r="J164"/>
      <c r="K164"/>
      <c r="L164"/>
      <c r="M164"/>
      <c r="N164"/>
      <c r="O164"/>
      <c r="P164"/>
      <c r="Q164"/>
      <c r="R164"/>
      <c r="S164"/>
      <c r="T164"/>
    </row>
    <row r="165" spans="1:20" ht="14.4" x14ac:dyDescent="0.3">
      <c r="A165">
        <v>2021</v>
      </c>
      <c r="B165">
        <v>1028750</v>
      </c>
      <c r="C165"/>
      <c r="D165"/>
      <c r="E165"/>
      <c r="F165"/>
      <c r="G165"/>
      <c r="H165"/>
      <c r="I165"/>
      <c r="J165"/>
      <c r="K165"/>
      <c r="L165"/>
      <c r="M165"/>
      <c r="N165"/>
      <c r="O165"/>
      <c r="P165"/>
      <c r="Q165"/>
      <c r="R165"/>
      <c r="S165"/>
      <c r="T165"/>
    </row>
    <row r="166" spans="1:20" ht="14.4" x14ac:dyDescent="0.3">
      <c r="A166">
        <v>2020</v>
      </c>
      <c r="B166">
        <v>990686</v>
      </c>
      <c r="C166"/>
      <c r="D166"/>
      <c r="E166"/>
      <c r="F166"/>
      <c r="G166"/>
      <c r="H166"/>
      <c r="I166"/>
      <c r="J166"/>
      <c r="K166"/>
      <c r="L166"/>
      <c r="M166"/>
      <c r="N166"/>
      <c r="O166"/>
      <c r="P166"/>
      <c r="Q166"/>
      <c r="R166"/>
      <c r="S166"/>
      <c r="T166"/>
    </row>
    <row r="167" spans="1:20" ht="14.4" x14ac:dyDescent="0.3">
      <c r="A167">
        <v>2019</v>
      </c>
      <c r="B167">
        <v>957643</v>
      </c>
      <c r="C167"/>
      <c r="D167"/>
      <c r="E167"/>
      <c r="F167"/>
      <c r="G167"/>
      <c r="H167"/>
      <c r="I167"/>
      <c r="J167"/>
      <c r="K167"/>
      <c r="L167"/>
      <c r="M167"/>
      <c r="N167"/>
      <c r="O167"/>
      <c r="P167"/>
      <c r="Q167"/>
      <c r="R167"/>
      <c r="S167"/>
      <c r="T167"/>
    </row>
    <row r="168" spans="1:20" ht="14.4" x14ac:dyDescent="0.3">
      <c r="A168">
        <v>2022</v>
      </c>
      <c r="B168">
        <v>0</v>
      </c>
      <c r="C168"/>
      <c r="D168"/>
      <c r="E168"/>
      <c r="F168"/>
      <c r="G168"/>
      <c r="H168"/>
      <c r="I168"/>
      <c r="J168"/>
      <c r="K168"/>
      <c r="L168"/>
      <c r="M168"/>
      <c r="N168"/>
      <c r="O168"/>
      <c r="P168"/>
      <c r="Q168"/>
      <c r="R168"/>
      <c r="S168"/>
      <c r="T168"/>
    </row>
    <row r="169" spans="1:20" ht="14.4" x14ac:dyDescent="0.3">
      <c r="A169">
        <v>2021</v>
      </c>
      <c r="B169">
        <v>22568</v>
      </c>
      <c r="C169"/>
      <c r="D169"/>
      <c r="E169"/>
      <c r="F169"/>
      <c r="G169"/>
      <c r="H169"/>
      <c r="I169"/>
      <c r="J169"/>
      <c r="K169"/>
      <c r="L169"/>
      <c r="M169"/>
      <c r="N169"/>
      <c r="O169"/>
      <c r="P169"/>
      <c r="Q169"/>
      <c r="R169"/>
      <c r="S169"/>
      <c r="T169"/>
    </row>
    <row r="170" spans="1:20" ht="14.4" x14ac:dyDescent="0.3">
      <c r="A170">
        <v>2020</v>
      </c>
      <c r="B170">
        <v>17705</v>
      </c>
      <c r="C170"/>
      <c r="D170"/>
      <c r="E170"/>
      <c r="F170"/>
      <c r="G170"/>
      <c r="H170"/>
      <c r="I170"/>
      <c r="J170"/>
      <c r="K170"/>
      <c r="L170"/>
      <c r="M170"/>
      <c r="N170"/>
      <c r="O170"/>
      <c r="P170"/>
      <c r="Q170"/>
      <c r="R170"/>
      <c r="S170"/>
      <c r="T170"/>
    </row>
    <row r="171" spans="1:20" ht="14.4" x14ac:dyDescent="0.3">
      <c r="A171">
        <v>2019</v>
      </c>
      <c r="B171">
        <v>18767</v>
      </c>
      <c r="C171"/>
      <c r="D171"/>
      <c r="E171"/>
      <c r="F171"/>
      <c r="G171"/>
      <c r="H171"/>
      <c r="I171"/>
      <c r="J171"/>
      <c r="K171"/>
      <c r="L171"/>
      <c r="M171"/>
      <c r="N171"/>
      <c r="O171"/>
      <c r="P171"/>
      <c r="Q171"/>
      <c r="R171"/>
      <c r="S171"/>
      <c r="T171"/>
    </row>
    <row r="172" spans="1:20" ht="14.4" x14ac:dyDescent="0.3">
      <c r="A172">
        <v>2022</v>
      </c>
      <c r="B172">
        <v>0</v>
      </c>
      <c r="C172"/>
      <c r="D172"/>
      <c r="E172"/>
      <c r="F172"/>
      <c r="G172"/>
      <c r="H172"/>
      <c r="I172"/>
      <c r="J172"/>
      <c r="K172"/>
      <c r="L172"/>
      <c r="M172"/>
      <c r="N172"/>
      <c r="O172"/>
      <c r="P172"/>
      <c r="Q172"/>
      <c r="R172"/>
      <c r="S172"/>
      <c r="T172"/>
    </row>
    <row r="173" spans="1:20" ht="14.4" x14ac:dyDescent="0.3">
      <c r="A173">
        <v>2021</v>
      </c>
      <c r="B173">
        <v>10798</v>
      </c>
      <c r="C173"/>
      <c r="D173"/>
      <c r="E173"/>
      <c r="F173"/>
      <c r="G173"/>
      <c r="H173"/>
      <c r="I173"/>
      <c r="J173"/>
      <c r="K173"/>
      <c r="L173"/>
      <c r="M173"/>
      <c r="N173"/>
      <c r="O173"/>
      <c r="P173"/>
      <c r="Q173"/>
      <c r="R173"/>
      <c r="S173"/>
      <c r="T173"/>
    </row>
    <row r="174" spans="1:20" ht="14.4" x14ac:dyDescent="0.3">
      <c r="A174">
        <v>2020</v>
      </c>
      <c r="B174">
        <v>16197</v>
      </c>
      <c r="C174"/>
      <c r="D174"/>
      <c r="E174"/>
      <c r="F174"/>
      <c r="G174"/>
      <c r="H174"/>
      <c r="I174"/>
      <c r="J174"/>
      <c r="K174"/>
      <c r="L174"/>
      <c r="M174"/>
      <c r="N174"/>
      <c r="O174"/>
      <c r="P174"/>
      <c r="Q174"/>
      <c r="R174"/>
      <c r="S174"/>
      <c r="T174"/>
    </row>
    <row r="175" spans="1:20" ht="14.4" x14ac:dyDescent="0.3">
      <c r="A175">
        <v>2019</v>
      </c>
      <c r="B175">
        <v>21595</v>
      </c>
      <c r="C175"/>
      <c r="D175"/>
      <c r="E175"/>
      <c r="F175"/>
      <c r="G175"/>
      <c r="H175"/>
      <c r="I175"/>
      <c r="J175"/>
      <c r="K175"/>
      <c r="L175"/>
      <c r="M175"/>
      <c r="N175"/>
      <c r="O175"/>
      <c r="P175"/>
      <c r="Q175"/>
      <c r="R175"/>
      <c r="S175"/>
      <c r="T175"/>
    </row>
    <row r="176" spans="1:20" ht="14.4" x14ac:dyDescent="0.3">
      <c r="A176"/>
      <c r="B176"/>
      <c r="C176"/>
      <c r="D176"/>
      <c r="E176"/>
      <c r="F176"/>
      <c r="G176"/>
      <c r="H176"/>
      <c r="I176"/>
      <c r="J176"/>
      <c r="K176"/>
      <c r="L176"/>
      <c r="M176"/>
      <c r="N176"/>
      <c r="O176"/>
      <c r="P176"/>
      <c r="Q176"/>
      <c r="R176"/>
      <c r="S176"/>
      <c r="T176"/>
    </row>
    <row r="177" spans="1:20" ht="14.4" x14ac:dyDescent="0.3">
      <c r="A177" t="s">
        <v>1482</v>
      </c>
      <c r="B177">
        <v>2021</v>
      </c>
      <c r="C177">
        <v>2022</v>
      </c>
      <c r="D177">
        <v>2022</v>
      </c>
      <c r="E177"/>
      <c r="F177"/>
      <c r="G177"/>
      <c r="H177"/>
      <c r="I177"/>
      <c r="J177"/>
      <c r="K177"/>
      <c r="L177"/>
      <c r="M177"/>
      <c r="N177"/>
      <c r="O177"/>
      <c r="P177"/>
      <c r="Q177"/>
      <c r="R177"/>
      <c r="S177"/>
      <c r="T177"/>
    </row>
    <row r="178" spans="1:20" ht="14.4" x14ac:dyDescent="0.3">
      <c r="A178" t="s">
        <v>1441</v>
      </c>
      <c r="B178">
        <v>0</v>
      </c>
      <c r="C178">
        <v>0</v>
      </c>
      <c r="D178">
        <v>0</v>
      </c>
      <c r="E178"/>
      <c r="F178"/>
      <c r="G178"/>
      <c r="H178"/>
      <c r="I178"/>
      <c r="J178"/>
      <c r="K178"/>
      <c r="L178"/>
      <c r="M178"/>
      <c r="N178"/>
      <c r="O178"/>
      <c r="P178"/>
      <c r="Q178"/>
      <c r="R178"/>
      <c r="S178"/>
      <c r="T178"/>
    </row>
    <row r="179" spans="1:20" ht="14.4" x14ac:dyDescent="0.3">
      <c r="A179" t="s">
        <v>1442</v>
      </c>
      <c r="B179">
        <v>0</v>
      </c>
      <c r="C179">
        <v>0</v>
      </c>
      <c r="D179">
        <v>0</v>
      </c>
      <c r="E179"/>
      <c r="F179"/>
      <c r="G179"/>
      <c r="H179"/>
      <c r="I179"/>
      <c r="J179"/>
      <c r="K179"/>
      <c r="L179"/>
      <c r="M179"/>
      <c r="N179"/>
      <c r="O179"/>
      <c r="P179"/>
      <c r="Q179"/>
      <c r="R179"/>
      <c r="S179"/>
      <c r="T179"/>
    </row>
    <row r="180" spans="1:20" ht="14.4" x14ac:dyDescent="0.3">
      <c r="A180" t="s">
        <v>1443</v>
      </c>
      <c r="B180">
        <v>0</v>
      </c>
      <c r="C180">
        <v>0</v>
      </c>
      <c r="D180">
        <v>0</v>
      </c>
      <c r="E180"/>
      <c r="F180"/>
      <c r="G180"/>
      <c r="H180"/>
      <c r="I180"/>
      <c r="J180"/>
      <c r="K180"/>
      <c r="L180"/>
      <c r="M180"/>
      <c r="N180"/>
      <c r="O180"/>
      <c r="P180"/>
      <c r="Q180"/>
      <c r="R180"/>
      <c r="S180"/>
      <c r="T180"/>
    </row>
    <row r="181" spans="1:20" ht="14.4" x14ac:dyDescent="0.3">
      <c r="A181" t="s">
        <v>1444</v>
      </c>
      <c r="B181">
        <v>0</v>
      </c>
      <c r="C181">
        <v>0</v>
      </c>
      <c r="D181">
        <v>0</v>
      </c>
      <c r="E181"/>
      <c r="F181"/>
      <c r="G181"/>
      <c r="H181"/>
      <c r="I181"/>
      <c r="J181"/>
      <c r="K181"/>
      <c r="L181"/>
      <c r="M181"/>
      <c r="N181"/>
      <c r="O181"/>
      <c r="P181"/>
      <c r="Q181"/>
      <c r="R181"/>
      <c r="S181"/>
      <c r="T181"/>
    </row>
    <row r="182" spans="1:20" ht="14.4" x14ac:dyDescent="0.3">
      <c r="A182" t="s">
        <v>1445</v>
      </c>
      <c r="B182">
        <v>0</v>
      </c>
      <c r="C182">
        <v>0</v>
      </c>
      <c r="D182">
        <v>0</v>
      </c>
      <c r="E182"/>
      <c r="F182"/>
      <c r="G182"/>
      <c r="H182"/>
      <c r="I182"/>
      <c r="J182"/>
      <c r="K182"/>
      <c r="L182"/>
      <c r="M182"/>
      <c r="N182"/>
      <c r="O182"/>
      <c r="P182"/>
      <c r="Q182"/>
      <c r="R182"/>
      <c r="S182"/>
      <c r="T182"/>
    </row>
    <row r="183" spans="1:20" ht="14.4" x14ac:dyDescent="0.3">
      <c r="A183" t="s">
        <v>1446</v>
      </c>
      <c r="B183">
        <v>0</v>
      </c>
      <c r="C183">
        <v>0</v>
      </c>
      <c r="D183">
        <v>0</v>
      </c>
      <c r="E183"/>
      <c r="F183"/>
      <c r="G183"/>
      <c r="H183"/>
      <c r="I183"/>
      <c r="J183"/>
      <c r="K183"/>
      <c r="L183"/>
      <c r="M183"/>
      <c r="N183"/>
      <c r="O183"/>
      <c r="P183"/>
      <c r="Q183"/>
      <c r="R183"/>
      <c r="S183"/>
      <c r="T183"/>
    </row>
    <row r="184" spans="1:20" ht="14.4" x14ac:dyDescent="0.3">
      <c r="A184" t="s">
        <v>1447</v>
      </c>
      <c r="B184">
        <v>0</v>
      </c>
      <c r="C184">
        <v>0</v>
      </c>
      <c r="D184">
        <v>0</v>
      </c>
      <c r="E184"/>
      <c r="F184"/>
      <c r="G184"/>
      <c r="H184"/>
      <c r="I184"/>
      <c r="J184"/>
      <c r="K184"/>
      <c r="L184"/>
      <c r="M184"/>
      <c r="N184"/>
      <c r="O184"/>
      <c r="P184"/>
      <c r="Q184"/>
      <c r="R184"/>
      <c r="S184"/>
      <c r="T184"/>
    </row>
    <row r="185" spans="1:20" ht="14.4" x14ac:dyDescent="0.3">
      <c r="A185" t="s">
        <v>1448</v>
      </c>
      <c r="B185">
        <v>0</v>
      </c>
      <c r="C185">
        <v>0</v>
      </c>
      <c r="D185">
        <v>0</v>
      </c>
      <c r="E185"/>
      <c r="F185"/>
      <c r="G185"/>
      <c r="H185"/>
      <c r="I185"/>
      <c r="J185"/>
      <c r="K185"/>
      <c r="L185"/>
      <c r="M185"/>
      <c r="N185"/>
      <c r="O185"/>
      <c r="P185"/>
      <c r="Q185"/>
      <c r="R185"/>
      <c r="S185"/>
      <c r="T185"/>
    </row>
    <row r="186" spans="1:20" ht="14.4" x14ac:dyDescent="0.3">
      <c r="A186" t="s">
        <v>1449</v>
      </c>
      <c r="B186">
        <v>0</v>
      </c>
      <c r="C186">
        <v>0</v>
      </c>
      <c r="D186">
        <v>0</v>
      </c>
      <c r="E186"/>
      <c r="F186"/>
      <c r="G186"/>
      <c r="H186"/>
      <c r="I186"/>
      <c r="J186"/>
      <c r="K186"/>
      <c r="L186"/>
      <c r="M186"/>
      <c r="N186"/>
      <c r="O186"/>
      <c r="P186"/>
      <c r="Q186"/>
      <c r="R186"/>
      <c r="S186"/>
      <c r="T186"/>
    </row>
    <row r="187" spans="1:20" ht="14.4" x14ac:dyDescent="0.3">
      <c r="A187" t="s">
        <v>1450</v>
      </c>
      <c r="B187">
        <v>0</v>
      </c>
      <c r="C187">
        <v>0</v>
      </c>
      <c r="D187">
        <v>0</v>
      </c>
      <c r="E187"/>
      <c r="F187"/>
      <c r="G187"/>
      <c r="H187"/>
      <c r="I187"/>
      <c r="J187"/>
      <c r="K187"/>
      <c r="L187"/>
      <c r="M187"/>
      <c r="N187"/>
      <c r="O187"/>
      <c r="P187"/>
      <c r="Q187"/>
      <c r="R187"/>
      <c r="S187"/>
      <c r="T187"/>
    </row>
    <row r="188" spans="1:20" ht="14.4" x14ac:dyDescent="0.3">
      <c r="A188" t="s">
        <v>1451</v>
      </c>
      <c r="B188">
        <v>0</v>
      </c>
      <c r="C188">
        <v>0</v>
      </c>
      <c r="D188">
        <v>0</v>
      </c>
      <c r="E188"/>
      <c r="F188"/>
      <c r="G188"/>
      <c r="H188"/>
      <c r="I188"/>
      <c r="J188"/>
      <c r="K188"/>
      <c r="L188"/>
      <c r="M188"/>
      <c r="N188"/>
      <c r="O188"/>
      <c r="P188"/>
      <c r="Q188"/>
      <c r="R188"/>
      <c r="S188"/>
      <c r="T188"/>
    </row>
    <row r="189" spans="1:20" ht="14.4" x14ac:dyDescent="0.3">
      <c r="A189" t="s">
        <v>1452</v>
      </c>
      <c r="B189">
        <v>0</v>
      </c>
      <c r="C189">
        <v>0</v>
      </c>
      <c r="D189">
        <v>0</v>
      </c>
      <c r="E189"/>
      <c r="F189"/>
      <c r="G189"/>
      <c r="H189"/>
      <c r="I189"/>
      <c r="J189"/>
      <c r="K189"/>
      <c r="L189"/>
      <c r="M189"/>
      <c r="N189"/>
      <c r="O189"/>
      <c r="P189"/>
      <c r="Q189"/>
      <c r="R189"/>
      <c r="S189"/>
      <c r="T189"/>
    </row>
    <row r="190" spans="1:20" ht="14.4" x14ac:dyDescent="0.3">
      <c r="A190" t="s">
        <v>1453</v>
      </c>
      <c r="B190">
        <v>0</v>
      </c>
      <c r="C190">
        <v>0</v>
      </c>
      <c r="D190">
        <v>0</v>
      </c>
      <c r="E190"/>
      <c r="F190"/>
      <c r="G190"/>
      <c r="H190"/>
      <c r="I190"/>
      <c r="J190"/>
      <c r="K190"/>
      <c r="L190"/>
      <c r="M190"/>
      <c r="N190"/>
      <c r="O190"/>
      <c r="P190"/>
      <c r="Q190"/>
      <c r="R190"/>
      <c r="S190"/>
      <c r="T190"/>
    </row>
    <row r="191" spans="1:20" ht="14.4" x14ac:dyDescent="0.3">
      <c r="A191" t="s">
        <v>1454</v>
      </c>
      <c r="B191">
        <v>0</v>
      </c>
      <c r="C191">
        <v>0</v>
      </c>
      <c r="D191">
        <v>0</v>
      </c>
      <c r="E191"/>
      <c r="F191"/>
      <c r="G191"/>
      <c r="H191"/>
      <c r="I191"/>
      <c r="J191"/>
      <c r="K191"/>
      <c r="L191"/>
      <c r="M191"/>
      <c r="N191"/>
      <c r="O191"/>
      <c r="P191"/>
      <c r="Q191"/>
      <c r="R191"/>
      <c r="S191"/>
      <c r="T191"/>
    </row>
    <row r="192" spans="1:20" ht="14.4" x14ac:dyDescent="0.3">
      <c r="A192" t="s">
        <v>1455</v>
      </c>
      <c r="B192">
        <v>0</v>
      </c>
      <c r="C192">
        <v>0</v>
      </c>
      <c r="D192">
        <v>0</v>
      </c>
      <c r="E192"/>
      <c r="F192"/>
      <c r="G192"/>
      <c r="H192"/>
      <c r="I192"/>
      <c r="J192"/>
      <c r="K192"/>
      <c r="L192"/>
      <c r="M192"/>
      <c r="N192"/>
      <c r="O192"/>
      <c r="P192"/>
      <c r="Q192"/>
      <c r="R192"/>
      <c r="S192"/>
      <c r="T192"/>
    </row>
    <row r="193" spans="1:20" ht="14.4" x14ac:dyDescent="0.3">
      <c r="A193" t="s">
        <v>1456</v>
      </c>
      <c r="B193">
        <v>0</v>
      </c>
      <c r="C193">
        <v>0</v>
      </c>
      <c r="D193">
        <v>0</v>
      </c>
      <c r="E193"/>
      <c r="F193"/>
      <c r="G193"/>
      <c r="H193"/>
      <c r="I193"/>
      <c r="J193"/>
      <c r="K193"/>
      <c r="L193"/>
      <c r="M193"/>
      <c r="N193"/>
      <c r="O193"/>
      <c r="P193"/>
      <c r="Q193"/>
      <c r="R193"/>
      <c r="S193"/>
      <c r="T193"/>
    </row>
    <row r="194" spans="1:20" ht="14.4" x14ac:dyDescent="0.3">
      <c r="A194" t="s">
        <v>1457</v>
      </c>
      <c r="B194">
        <v>0</v>
      </c>
      <c r="C194">
        <v>0</v>
      </c>
      <c r="D194">
        <v>0</v>
      </c>
      <c r="E194"/>
      <c r="F194"/>
      <c r="G194"/>
      <c r="H194"/>
      <c r="I194"/>
      <c r="J194"/>
      <c r="K194"/>
      <c r="L194"/>
      <c r="M194"/>
      <c r="N194"/>
      <c r="O194"/>
      <c r="P194"/>
      <c r="Q194"/>
      <c r="R194"/>
      <c r="S194"/>
      <c r="T194"/>
    </row>
    <row r="195" spans="1:20" ht="14.4" x14ac:dyDescent="0.3">
      <c r="A195" t="s">
        <v>1458</v>
      </c>
      <c r="B195">
        <v>0</v>
      </c>
      <c r="C195">
        <v>0</v>
      </c>
      <c r="D195">
        <v>0</v>
      </c>
      <c r="E195"/>
      <c r="F195"/>
      <c r="G195"/>
      <c r="H195"/>
      <c r="I195"/>
      <c r="J195"/>
      <c r="K195"/>
      <c r="L195"/>
      <c r="M195"/>
      <c r="N195"/>
      <c r="O195"/>
      <c r="P195"/>
      <c r="Q195"/>
      <c r="R195"/>
      <c r="S195"/>
      <c r="T195"/>
    </row>
    <row r="196" spans="1:20" ht="14.4" x14ac:dyDescent="0.3">
      <c r="A196" t="s">
        <v>1459</v>
      </c>
      <c r="B196">
        <v>0</v>
      </c>
      <c r="C196">
        <v>0</v>
      </c>
      <c r="D196">
        <v>0</v>
      </c>
      <c r="E196"/>
      <c r="F196"/>
      <c r="G196"/>
      <c r="H196"/>
      <c r="I196"/>
      <c r="J196"/>
      <c r="K196"/>
      <c r="L196"/>
      <c r="M196"/>
      <c r="N196"/>
      <c r="O196"/>
      <c r="P196"/>
      <c r="Q196"/>
      <c r="R196"/>
      <c r="S196"/>
      <c r="T196"/>
    </row>
    <row r="197" spans="1:20" ht="14.4" x14ac:dyDescent="0.3">
      <c r="A197" t="s">
        <v>1460</v>
      </c>
      <c r="B197">
        <v>0</v>
      </c>
      <c r="C197">
        <v>0</v>
      </c>
      <c r="D197">
        <v>0</v>
      </c>
      <c r="E197"/>
      <c r="F197"/>
      <c r="G197"/>
      <c r="H197"/>
      <c r="I197"/>
      <c r="J197"/>
      <c r="K197"/>
      <c r="L197"/>
      <c r="M197"/>
      <c r="N197"/>
      <c r="O197"/>
      <c r="P197"/>
      <c r="Q197"/>
      <c r="R197"/>
      <c r="S197"/>
      <c r="T197"/>
    </row>
    <row r="198" spans="1:20" ht="14.4" x14ac:dyDescent="0.3">
      <c r="A198" t="s">
        <v>1461</v>
      </c>
      <c r="B198">
        <v>0</v>
      </c>
      <c r="C198">
        <v>0</v>
      </c>
      <c r="D198">
        <v>0</v>
      </c>
      <c r="E198"/>
      <c r="F198"/>
      <c r="G198"/>
      <c r="H198"/>
      <c r="I198"/>
      <c r="J198"/>
      <c r="K198"/>
      <c r="L198"/>
      <c r="M198"/>
      <c r="N198"/>
      <c r="O198"/>
      <c r="P198"/>
      <c r="Q198"/>
      <c r="R198"/>
      <c r="S198"/>
      <c r="T198"/>
    </row>
    <row r="199" spans="1:20" ht="14.4" x14ac:dyDescent="0.3">
      <c r="A199" t="s">
        <v>1462</v>
      </c>
      <c r="B199">
        <v>0</v>
      </c>
      <c r="C199">
        <v>0</v>
      </c>
      <c r="D199">
        <v>0</v>
      </c>
      <c r="E199"/>
      <c r="F199"/>
      <c r="G199"/>
      <c r="H199"/>
      <c r="I199"/>
      <c r="J199"/>
      <c r="K199"/>
      <c r="L199"/>
      <c r="M199"/>
      <c r="N199"/>
      <c r="O199"/>
      <c r="P199"/>
      <c r="Q199"/>
      <c r="R199"/>
      <c r="S199"/>
      <c r="T199"/>
    </row>
    <row r="200" spans="1:20" ht="14.4" x14ac:dyDescent="0.3">
      <c r="A200" t="s">
        <v>1463</v>
      </c>
      <c r="B200">
        <v>0</v>
      </c>
      <c r="C200">
        <v>0</v>
      </c>
      <c r="D200">
        <v>0</v>
      </c>
      <c r="E200"/>
      <c r="F200"/>
      <c r="G200"/>
      <c r="H200"/>
      <c r="I200"/>
      <c r="J200"/>
      <c r="K200"/>
      <c r="L200"/>
      <c r="M200"/>
      <c r="N200"/>
      <c r="O200"/>
      <c r="P200"/>
      <c r="Q200"/>
      <c r="R200"/>
      <c r="S200"/>
      <c r="T200"/>
    </row>
    <row r="201" spans="1:20" ht="14.4" x14ac:dyDescent="0.3">
      <c r="A201" t="s">
        <v>1464</v>
      </c>
      <c r="B201">
        <v>6750</v>
      </c>
      <c r="C201">
        <v>0</v>
      </c>
      <c r="D201">
        <v>0</v>
      </c>
      <c r="E201"/>
      <c r="F201"/>
      <c r="G201"/>
      <c r="H201"/>
      <c r="I201"/>
      <c r="J201"/>
      <c r="K201"/>
      <c r="L201"/>
      <c r="M201"/>
      <c r="N201"/>
      <c r="O201"/>
      <c r="P201"/>
      <c r="Q201"/>
      <c r="R201"/>
      <c r="S201"/>
      <c r="T201"/>
    </row>
    <row r="202" spans="1:20" ht="14.4" x14ac:dyDescent="0.3">
      <c r="A202" t="s">
        <v>1465</v>
      </c>
      <c r="B202">
        <v>359641</v>
      </c>
      <c r="C202">
        <v>0</v>
      </c>
      <c r="D202">
        <v>0</v>
      </c>
      <c r="E202"/>
      <c r="F202"/>
      <c r="G202"/>
      <c r="H202"/>
      <c r="I202"/>
      <c r="J202"/>
      <c r="K202"/>
      <c r="L202"/>
      <c r="M202"/>
      <c r="N202"/>
      <c r="O202"/>
      <c r="P202"/>
      <c r="Q202"/>
      <c r="R202"/>
      <c r="S202"/>
      <c r="T202"/>
    </row>
    <row r="203" spans="1:20" ht="14.4" x14ac:dyDescent="0.3">
      <c r="A203" t="s">
        <v>1466</v>
      </c>
      <c r="B203">
        <v>122012</v>
      </c>
      <c r="C203">
        <v>0</v>
      </c>
      <c r="D203">
        <v>0</v>
      </c>
      <c r="E203"/>
      <c r="F203"/>
      <c r="G203"/>
      <c r="H203"/>
      <c r="I203"/>
      <c r="J203"/>
      <c r="K203"/>
      <c r="L203"/>
      <c r="M203"/>
      <c r="N203"/>
      <c r="O203"/>
      <c r="P203"/>
      <c r="Q203"/>
      <c r="R203"/>
      <c r="S203"/>
      <c r="T203"/>
    </row>
    <row r="204" spans="1:20" ht="14.4" x14ac:dyDescent="0.3">
      <c r="A204" t="s">
        <v>1467</v>
      </c>
      <c r="B204">
        <v>0</v>
      </c>
      <c r="C204">
        <v>0</v>
      </c>
      <c r="D204">
        <v>0</v>
      </c>
      <c r="E204"/>
      <c r="F204"/>
      <c r="G204"/>
      <c r="H204"/>
      <c r="I204"/>
      <c r="J204"/>
      <c r="K204"/>
      <c r="L204"/>
      <c r="M204"/>
      <c r="N204"/>
      <c r="O204"/>
      <c r="P204"/>
      <c r="Q204"/>
      <c r="R204"/>
      <c r="S204"/>
      <c r="T204"/>
    </row>
    <row r="205" spans="1:20" ht="14.4" x14ac:dyDescent="0.3">
      <c r="A205" t="s">
        <v>1468</v>
      </c>
      <c r="B205">
        <v>38925</v>
      </c>
      <c r="C205">
        <v>0</v>
      </c>
      <c r="D205">
        <v>0</v>
      </c>
      <c r="E205"/>
      <c r="F205"/>
      <c r="G205"/>
      <c r="H205"/>
      <c r="I205"/>
      <c r="J205"/>
      <c r="K205"/>
      <c r="L205"/>
      <c r="M205"/>
      <c r="N205"/>
      <c r="O205"/>
      <c r="P205"/>
      <c r="Q205"/>
      <c r="R205"/>
      <c r="S205"/>
      <c r="T205"/>
    </row>
    <row r="206" spans="1:20" ht="14.4" x14ac:dyDescent="0.3">
      <c r="A206" t="s">
        <v>1469</v>
      </c>
      <c r="B206">
        <v>0</v>
      </c>
      <c r="C206">
        <v>0</v>
      </c>
      <c r="D206">
        <v>0</v>
      </c>
      <c r="E206"/>
      <c r="F206"/>
      <c r="G206"/>
      <c r="H206"/>
      <c r="I206"/>
      <c r="J206"/>
      <c r="K206"/>
      <c r="L206"/>
      <c r="M206"/>
      <c r="N206"/>
      <c r="O206"/>
      <c r="P206"/>
      <c r="Q206"/>
      <c r="R206"/>
      <c r="S206"/>
      <c r="T206"/>
    </row>
    <row r="207" spans="1:20" ht="14.4" x14ac:dyDescent="0.3">
      <c r="A207" t="s">
        <v>1470</v>
      </c>
      <c r="B207">
        <v>0</v>
      </c>
      <c r="C207">
        <v>0</v>
      </c>
      <c r="D207">
        <v>0</v>
      </c>
      <c r="E207"/>
      <c r="F207"/>
      <c r="G207"/>
      <c r="H207"/>
      <c r="I207"/>
      <c r="J207"/>
      <c r="K207"/>
      <c r="L207"/>
      <c r="M207"/>
      <c r="N207"/>
      <c r="O207"/>
      <c r="P207"/>
      <c r="Q207"/>
      <c r="R207"/>
      <c r="S207"/>
      <c r="T207"/>
    </row>
    <row r="208" spans="1:20" ht="14.4" x14ac:dyDescent="0.3">
      <c r="A208" t="s">
        <v>1471</v>
      </c>
      <c r="B208">
        <v>0</v>
      </c>
      <c r="C208">
        <v>0</v>
      </c>
      <c r="D208">
        <v>0</v>
      </c>
      <c r="E208"/>
      <c r="F208"/>
      <c r="G208"/>
      <c r="H208"/>
      <c r="I208"/>
      <c r="J208"/>
      <c r="K208"/>
      <c r="L208"/>
      <c r="M208"/>
      <c r="N208"/>
      <c r="O208"/>
      <c r="P208"/>
      <c r="Q208"/>
      <c r="R208"/>
      <c r="S208"/>
      <c r="T208"/>
    </row>
    <row r="209" spans="1:20" ht="14.4" x14ac:dyDescent="0.3">
      <c r="A209" t="s">
        <v>1472</v>
      </c>
      <c r="B209">
        <v>0</v>
      </c>
      <c r="C209">
        <v>0</v>
      </c>
      <c r="D209">
        <v>0</v>
      </c>
      <c r="E209"/>
      <c r="F209"/>
      <c r="G209"/>
      <c r="H209"/>
      <c r="I209"/>
      <c r="J209"/>
      <c r="K209"/>
      <c r="L209"/>
      <c r="M209"/>
      <c r="N209"/>
      <c r="O209"/>
      <c r="P209"/>
      <c r="Q209"/>
      <c r="R209"/>
      <c r="S209"/>
      <c r="T209"/>
    </row>
    <row r="210" spans="1:20" ht="14.4" x14ac:dyDescent="0.3">
      <c r="A210" t="s">
        <v>1473</v>
      </c>
      <c r="B210">
        <v>0</v>
      </c>
      <c r="C210">
        <v>0</v>
      </c>
      <c r="D210">
        <v>0</v>
      </c>
      <c r="E210"/>
      <c r="F210"/>
      <c r="G210"/>
      <c r="H210"/>
      <c r="I210"/>
      <c r="J210"/>
      <c r="K210"/>
      <c r="L210"/>
      <c r="M210"/>
      <c r="N210"/>
      <c r="O210"/>
      <c r="P210"/>
      <c r="Q210"/>
      <c r="R210"/>
      <c r="S210"/>
      <c r="T210"/>
    </row>
    <row r="211" spans="1:20" ht="14.4" x14ac:dyDescent="0.3">
      <c r="A211" t="s">
        <v>1474</v>
      </c>
      <c r="B211">
        <v>0</v>
      </c>
      <c r="C211">
        <v>0</v>
      </c>
      <c r="D211">
        <v>0</v>
      </c>
      <c r="E211"/>
      <c r="F211"/>
      <c r="G211"/>
      <c r="H211"/>
      <c r="I211"/>
      <c r="J211"/>
      <c r="K211"/>
      <c r="L211"/>
      <c r="M211"/>
      <c r="N211"/>
      <c r="O211"/>
      <c r="P211"/>
      <c r="Q211"/>
      <c r="R211"/>
      <c r="S211"/>
      <c r="T211"/>
    </row>
    <row r="212" spans="1:20" ht="14.4" x14ac:dyDescent="0.3">
      <c r="A212" t="s">
        <v>1475</v>
      </c>
      <c r="B212">
        <v>0</v>
      </c>
      <c r="C212">
        <v>0</v>
      </c>
      <c r="D212">
        <v>0</v>
      </c>
      <c r="E212"/>
      <c r="F212"/>
      <c r="G212"/>
      <c r="H212"/>
      <c r="I212"/>
      <c r="J212"/>
      <c r="K212"/>
      <c r="L212"/>
      <c r="M212"/>
      <c r="N212"/>
      <c r="O212"/>
      <c r="P212"/>
      <c r="Q212"/>
      <c r="R212"/>
      <c r="S212"/>
      <c r="T212"/>
    </row>
    <row r="213" spans="1:20" ht="14.4" x14ac:dyDescent="0.3">
      <c r="A213" t="s">
        <v>1476</v>
      </c>
      <c r="B213">
        <v>0</v>
      </c>
      <c r="C213">
        <v>0</v>
      </c>
      <c r="D213">
        <v>0</v>
      </c>
      <c r="E213"/>
      <c r="F213"/>
      <c r="G213"/>
      <c r="H213"/>
      <c r="I213"/>
      <c r="J213"/>
      <c r="K213"/>
      <c r="L213"/>
      <c r="M213"/>
      <c r="N213"/>
      <c r="O213"/>
      <c r="P213"/>
      <c r="Q213"/>
      <c r="R213"/>
      <c r="S213"/>
      <c r="T213"/>
    </row>
    <row r="214" spans="1:20" ht="14.4" x14ac:dyDescent="0.3">
      <c r="A214" t="s">
        <v>1477</v>
      </c>
      <c r="B214">
        <v>0</v>
      </c>
      <c r="C214">
        <v>0</v>
      </c>
      <c r="D214">
        <v>0</v>
      </c>
      <c r="E214"/>
      <c r="F214"/>
      <c r="G214"/>
      <c r="H214"/>
      <c r="I214"/>
      <c r="J214"/>
      <c r="K214"/>
      <c r="L214"/>
      <c r="M214"/>
      <c r="N214"/>
      <c r="O214"/>
      <c r="P214"/>
      <c r="Q214"/>
      <c r="R214"/>
      <c r="S214"/>
      <c r="T214"/>
    </row>
    <row r="215" spans="1:20" ht="14.4" x14ac:dyDescent="0.3">
      <c r="A215" t="s">
        <v>1478</v>
      </c>
      <c r="B215">
        <v>0</v>
      </c>
      <c r="C215">
        <v>0</v>
      </c>
      <c r="D215">
        <v>0</v>
      </c>
      <c r="E215"/>
      <c r="F215"/>
      <c r="G215"/>
      <c r="H215"/>
      <c r="I215"/>
      <c r="J215"/>
      <c r="K215"/>
      <c r="L215"/>
      <c r="M215"/>
      <c r="N215"/>
      <c r="O215"/>
      <c r="P215"/>
      <c r="Q215"/>
      <c r="R215"/>
      <c r="S215"/>
      <c r="T215"/>
    </row>
    <row r="216" spans="1:20" ht="14.4" x14ac:dyDescent="0.3">
      <c r="A216" t="s">
        <v>1479</v>
      </c>
      <c r="B216">
        <v>0</v>
      </c>
      <c r="C216">
        <v>0</v>
      </c>
      <c r="D216">
        <v>0</v>
      </c>
      <c r="E216"/>
      <c r="F216"/>
      <c r="G216"/>
      <c r="H216"/>
      <c r="I216"/>
      <c r="J216"/>
      <c r="K216"/>
      <c r="L216"/>
      <c r="M216"/>
      <c r="N216"/>
      <c r="O216"/>
      <c r="P216"/>
      <c r="Q216"/>
      <c r="R216"/>
      <c r="S216"/>
      <c r="T216"/>
    </row>
    <row r="217" spans="1:20" ht="14.4" x14ac:dyDescent="0.3">
      <c r="A217" t="s">
        <v>1480</v>
      </c>
      <c r="B217">
        <v>0</v>
      </c>
      <c r="C217">
        <v>0</v>
      </c>
      <c r="D217">
        <v>0</v>
      </c>
      <c r="E217"/>
      <c r="F217"/>
      <c r="G217"/>
      <c r="H217"/>
      <c r="I217"/>
      <c r="J217"/>
      <c r="K217"/>
      <c r="L217"/>
      <c r="M217"/>
      <c r="N217"/>
      <c r="O217"/>
      <c r="P217"/>
      <c r="Q217"/>
      <c r="R217"/>
      <c r="S217"/>
      <c r="T217"/>
    </row>
    <row r="218" spans="1:20" ht="14.4" x14ac:dyDescent="0.3">
      <c r="A218" t="s">
        <v>1481</v>
      </c>
      <c r="B218">
        <v>0</v>
      </c>
      <c r="C218">
        <v>0</v>
      </c>
      <c r="D218">
        <v>0</v>
      </c>
      <c r="E218"/>
      <c r="F218"/>
      <c r="G218"/>
      <c r="H218"/>
      <c r="I218"/>
      <c r="J218"/>
      <c r="K218"/>
      <c r="L218"/>
      <c r="M218"/>
      <c r="N218"/>
      <c r="O218"/>
      <c r="P218"/>
      <c r="Q218"/>
      <c r="R218"/>
      <c r="S218"/>
      <c r="T218"/>
    </row>
    <row r="225" spans="1:6" x14ac:dyDescent="0.25">
      <c r="A225" s="3" t="s">
        <v>1253</v>
      </c>
      <c r="B225" s="4">
        <v>2010</v>
      </c>
      <c r="C225" s="1">
        <v>2011</v>
      </c>
      <c r="D225" s="1">
        <v>2012</v>
      </c>
      <c r="E225" s="1">
        <v>2013</v>
      </c>
      <c r="F225" s="1">
        <v>2014</v>
      </c>
    </row>
    <row r="226" spans="1:6" x14ac:dyDescent="0.25">
      <c r="A226" s="3" t="s">
        <v>1335</v>
      </c>
      <c r="B226" s="5">
        <v>62995</v>
      </c>
      <c r="C226" s="6">
        <v>62445</v>
      </c>
      <c r="D226" s="6">
        <v>66388</v>
      </c>
      <c r="E226" s="6">
        <v>70719</v>
      </c>
      <c r="F226" s="6">
        <v>66041</v>
      </c>
    </row>
    <row r="227" spans="1:6" x14ac:dyDescent="0.25">
      <c r="B227" s="5"/>
      <c r="C227" s="6"/>
      <c r="D227" s="6"/>
      <c r="E227" s="6"/>
      <c r="F227" s="6"/>
    </row>
    <row r="228" spans="1:6" x14ac:dyDescent="0.25">
      <c r="B228" s="5"/>
      <c r="C228" s="6"/>
      <c r="D228" s="6"/>
      <c r="E228" s="6"/>
      <c r="F228" s="6"/>
    </row>
    <row r="229" spans="1:6" x14ac:dyDescent="0.25">
      <c r="B229" s="5"/>
      <c r="C229" s="6"/>
      <c r="D229" s="6"/>
      <c r="E229" s="6"/>
      <c r="F229" s="6"/>
    </row>
    <row r="230" spans="1:6" x14ac:dyDescent="0.25">
      <c r="B230" s="5"/>
      <c r="C230" s="6"/>
      <c r="D230" s="6"/>
      <c r="E230" s="6"/>
      <c r="F230" s="6"/>
    </row>
    <row r="231" spans="1:6" x14ac:dyDescent="0.25">
      <c r="B231" s="5"/>
      <c r="C231" s="6"/>
      <c r="D231" s="6"/>
      <c r="E231" s="6"/>
      <c r="F231" s="6"/>
    </row>
    <row r="232" spans="1:6" x14ac:dyDescent="0.25">
      <c r="B232" s="5"/>
      <c r="C232" s="6"/>
      <c r="D232" s="6"/>
      <c r="E232" s="6"/>
      <c r="F232" s="6"/>
    </row>
    <row r="233" spans="1:6" x14ac:dyDescent="0.25">
      <c r="B233" s="5"/>
      <c r="C233" s="6"/>
      <c r="D233" s="6"/>
      <c r="E233" s="6"/>
      <c r="F233" s="6"/>
    </row>
    <row r="234" spans="1:6" x14ac:dyDescent="0.25">
      <c r="B234" s="5"/>
      <c r="C234" s="6"/>
      <c r="D234" s="6"/>
      <c r="E234" s="6"/>
      <c r="F234" s="6"/>
    </row>
    <row r="235" spans="1:6" x14ac:dyDescent="0.25">
      <c r="B235" s="5"/>
      <c r="C235" s="6"/>
      <c r="D235" s="6"/>
      <c r="E235" s="6"/>
      <c r="F235" s="6"/>
    </row>
    <row r="245" spans="1:5" x14ac:dyDescent="0.25">
      <c r="A245" s="3" t="s">
        <v>1245</v>
      </c>
      <c r="C245" s="1">
        <v>0</v>
      </c>
      <c r="D245" s="1">
        <v>0</v>
      </c>
      <c r="E245" s="1">
        <v>0</v>
      </c>
    </row>
    <row r="246" spans="1:5" x14ac:dyDescent="0.25">
      <c r="A246" s="3" t="s">
        <v>1246</v>
      </c>
      <c r="B246" s="4" t="s">
        <v>9</v>
      </c>
      <c r="C246" s="1">
        <v>2018</v>
      </c>
      <c r="D246" s="1">
        <v>614</v>
      </c>
      <c r="E246" s="1">
        <v>23564</v>
      </c>
    </row>
    <row r="247" spans="1:5" x14ac:dyDescent="0.25">
      <c r="A247" s="3" t="s">
        <v>1246</v>
      </c>
      <c r="B247" s="4" t="s">
        <v>9</v>
      </c>
      <c r="C247" s="1">
        <v>2019</v>
      </c>
      <c r="D247" s="1">
        <v>612</v>
      </c>
      <c r="E247" s="1">
        <v>23658</v>
      </c>
    </row>
    <row r="248" spans="1:5" x14ac:dyDescent="0.25">
      <c r="A248" s="3" t="s">
        <v>1246</v>
      </c>
      <c r="B248" s="4" t="s">
        <v>9</v>
      </c>
      <c r="C248" s="1">
        <v>2020</v>
      </c>
      <c r="D248" s="1">
        <v>612</v>
      </c>
      <c r="E248" s="1">
        <v>24553</v>
      </c>
    </row>
    <row r="249" spans="1:5" x14ac:dyDescent="0.25">
      <c r="A249" s="3" t="s">
        <v>1246</v>
      </c>
      <c r="B249" s="4" t="s">
        <v>9</v>
      </c>
      <c r="C249" s="1">
        <v>2021</v>
      </c>
      <c r="D249" s="1">
        <v>614</v>
      </c>
      <c r="E249" s="1">
        <v>24634</v>
      </c>
    </row>
    <row r="250" spans="1:5" x14ac:dyDescent="0.25">
      <c r="A250" s="3" t="s">
        <v>1246</v>
      </c>
      <c r="B250" s="4" t="s">
        <v>9</v>
      </c>
      <c r="C250" s="1">
        <v>2022</v>
      </c>
      <c r="D250" s="1">
        <v>0</v>
      </c>
      <c r="E250" s="1">
        <v>0</v>
      </c>
    </row>
    <row r="251" spans="1:5" x14ac:dyDescent="0.25">
      <c r="A251" s="3" t="s">
        <v>1246</v>
      </c>
      <c r="B251" s="4" t="s">
        <v>9</v>
      </c>
      <c r="C251" s="1">
        <v>2023</v>
      </c>
      <c r="D251" s="1">
        <v>0</v>
      </c>
      <c r="E251" s="1">
        <v>0</v>
      </c>
    </row>
    <row r="252" spans="1:5" x14ac:dyDescent="0.25">
      <c r="A252" s="3" t="s">
        <v>1247</v>
      </c>
      <c r="B252" s="4" t="s">
        <v>1248</v>
      </c>
      <c r="C252" s="1">
        <v>2018</v>
      </c>
      <c r="D252" s="1">
        <v>30</v>
      </c>
      <c r="E252" s="1">
        <v>1242</v>
      </c>
    </row>
    <row r="253" spans="1:5" x14ac:dyDescent="0.25">
      <c r="A253" s="3" t="s">
        <v>1247</v>
      </c>
      <c r="B253" s="4" t="s">
        <v>1248</v>
      </c>
      <c r="C253" s="1">
        <v>2019</v>
      </c>
      <c r="D253" s="1">
        <v>29</v>
      </c>
      <c r="E253" s="1">
        <v>1322</v>
      </c>
    </row>
    <row r="254" spans="1:5" x14ac:dyDescent="0.25">
      <c r="A254" s="3" t="s">
        <v>1247</v>
      </c>
      <c r="B254" s="4" t="s">
        <v>1248</v>
      </c>
      <c r="C254" s="1">
        <v>2020</v>
      </c>
      <c r="D254" s="1">
        <v>29</v>
      </c>
      <c r="E254" s="1">
        <v>1014</v>
      </c>
    </row>
    <row r="255" spans="1:5" x14ac:dyDescent="0.25">
      <c r="A255" s="3" t="s">
        <v>1247</v>
      </c>
      <c r="B255" s="4" t="s">
        <v>1248</v>
      </c>
      <c r="C255" s="1">
        <v>2021</v>
      </c>
      <c r="D255" s="1">
        <v>29</v>
      </c>
      <c r="E255" s="1">
        <v>1511</v>
      </c>
    </row>
    <row r="256" spans="1:5" x14ac:dyDescent="0.25">
      <c r="A256" s="3" t="s">
        <v>1247</v>
      </c>
      <c r="B256" s="4" t="s">
        <v>1248</v>
      </c>
      <c r="C256" s="1">
        <v>2022</v>
      </c>
      <c r="D256" s="1">
        <v>0</v>
      </c>
      <c r="E256" s="1">
        <v>0</v>
      </c>
    </row>
    <row r="257" spans="1:5" x14ac:dyDescent="0.25">
      <c r="A257" s="3" t="s">
        <v>1247</v>
      </c>
      <c r="B257" s="4" t="s">
        <v>1248</v>
      </c>
      <c r="C257" s="1">
        <v>2023</v>
      </c>
      <c r="D257" s="1">
        <v>0</v>
      </c>
      <c r="E257" s="1">
        <v>0</v>
      </c>
    </row>
    <row r="258" spans="1:5" x14ac:dyDescent="0.25">
      <c r="A258" s="3" t="s">
        <v>1249</v>
      </c>
      <c r="B258" s="4" t="s">
        <v>10</v>
      </c>
      <c r="C258" s="1">
        <v>2018</v>
      </c>
      <c r="D258" s="1">
        <v>4</v>
      </c>
      <c r="E258" s="1">
        <v>1317</v>
      </c>
    </row>
    <row r="259" spans="1:5" x14ac:dyDescent="0.25">
      <c r="A259" s="3" t="s">
        <v>1249</v>
      </c>
      <c r="B259" s="4" t="s">
        <v>10</v>
      </c>
      <c r="C259" s="1">
        <v>2019</v>
      </c>
      <c r="D259" s="1">
        <v>4</v>
      </c>
      <c r="E259" s="1">
        <v>1910</v>
      </c>
    </row>
    <row r="260" spans="1:5" x14ac:dyDescent="0.25">
      <c r="A260" s="3" t="s">
        <v>1249</v>
      </c>
      <c r="B260" s="4" t="s">
        <v>10</v>
      </c>
      <c r="C260" s="1">
        <v>2020</v>
      </c>
      <c r="D260" s="1">
        <v>4</v>
      </c>
      <c r="E260" s="1">
        <v>1490</v>
      </c>
    </row>
    <row r="261" spans="1:5" x14ac:dyDescent="0.25">
      <c r="A261" s="3" t="s">
        <v>1249</v>
      </c>
      <c r="B261" s="4" t="s">
        <v>10</v>
      </c>
      <c r="C261" s="1">
        <v>2021</v>
      </c>
      <c r="D261" s="1">
        <v>4</v>
      </c>
      <c r="E261" s="1">
        <v>1969</v>
      </c>
    </row>
    <row r="262" spans="1:5" x14ac:dyDescent="0.25">
      <c r="A262" s="3" t="s">
        <v>1249</v>
      </c>
      <c r="B262" s="4" t="s">
        <v>10</v>
      </c>
      <c r="C262" s="1">
        <v>2022</v>
      </c>
      <c r="D262" s="1">
        <v>0</v>
      </c>
      <c r="E262" s="1">
        <v>0</v>
      </c>
    </row>
    <row r="263" spans="1:5" x14ac:dyDescent="0.25">
      <c r="A263" s="3" t="s">
        <v>1249</v>
      </c>
      <c r="B263" s="4" t="s">
        <v>10</v>
      </c>
      <c r="C263" s="1">
        <v>2023</v>
      </c>
      <c r="D263" s="1">
        <v>0</v>
      </c>
      <c r="E263" s="1">
        <v>0</v>
      </c>
    </row>
    <row r="264" spans="1:5" x14ac:dyDescent="0.25">
      <c r="A264" s="3" t="s">
        <v>1250</v>
      </c>
      <c r="B264" s="4" t="s">
        <v>11</v>
      </c>
      <c r="C264" s="1">
        <v>2018</v>
      </c>
      <c r="D264" s="1">
        <v>20</v>
      </c>
      <c r="E264" s="1">
        <v>2188</v>
      </c>
    </row>
    <row r="265" spans="1:5" x14ac:dyDescent="0.25">
      <c r="A265" s="3" t="s">
        <v>1250</v>
      </c>
      <c r="B265" s="4" t="s">
        <v>11</v>
      </c>
      <c r="C265" s="1">
        <v>2019</v>
      </c>
      <c r="D265" s="1">
        <v>22</v>
      </c>
      <c r="E265" s="1">
        <v>2084</v>
      </c>
    </row>
    <row r="266" spans="1:5" x14ac:dyDescent="0.25">
      <c r="A266" s="3" t="s">
        <v>1250</v>
      </c>
      <c r="B266" s="4" t="s">
        <v>11</v>
      </c>
      <c r="C266" s="1">
        <v>2020</v>
      </c>
      <c r="D266" s="1">
        <v>22</v>
      </c>
      <c r="E266" s="1">
        <v>1582</v>
      </c>
    </row>
    <row r="267" spans="1:5" x14ac:dyDescent="0.25">
      <c r="A267" s="3" t="s">
        <v>1250</v>
      </c>
      <c r="B267" s="4" t="s">
        <v>11</v>
      </c>
      <c r="C267" s="1">
        <v>2021</v>
      </c>
      <c r="D267" s="1">
        <v>17</v>
      </c>
      <c r="E267" s="1">
        <v>1612</v>
      </c>
    </row>
    <row r="268" spans="1:5" x14ac:dyDescent="0.25">
      <c r="A268" s="3" t="s">
        <v>1250</v>
      </c>
      <c r="B268" s="4" t="s">
        <v>11</v>
      </c>
      <c r="C268" s="1">
        <v>2022</v>
      </c>
      <c r="D268" s="1">
        <v>0</v>
      </c>
      <c r="E268" s="1">
        <v>0</v>
      </c>
    </row>
    <row r="269" spans="1:5" x14ac:dyDescent="0.25">
      <c r="A269" s="3" t="s">
        <v>1250</v>
      </c>
      <c r="B269" s="4" t="s">
        <v>11</v>
      </c>
      <c r="C269" s="1">
        <v>2023</v>
      </c>
      <c r="D269" s="1">
        <v>0</v>
      </c>
      <c r="E269" s="1">
        <v>0</v>
      </c>
    </row>
    <row r="270" spans="1:5" x14ac:dyDescent="0.25">
      <c r="A270" s="3" t="s">
        <v>1251</v>
      </c>
      <c r="B270" s="4" t="s">
        <v>816</v>
      </c>
      <c r="C270" s="1">
        <v>2018</v>
      </c>
      <c r="D270" s="1">
        <v>4</v>
      </c>
      <c r="E270" s="1">
        <v>941</v>
      </c>
    </row>
    <row r="271" spans="1:5" x14ac:dyDescent="0.25">
      <c r="A271" s="3" t="s">
        <v>1251</v>
      </c>
      <c r="B271" s="4" t="s">
        <v>816</v>
      </c>
      <c r="C271" s="1">
        <v>2019</v>
      </c>
      <c r="D271" s="1">
        <v>4</v>
      </c>
      <c r="E271" s="1">
        <v>976</v>
      </c>
    </row>
    <row r="272" spans="1:5" x14ac:dyDescent="0.25">
      <c r="A272" s="3" t="s">
        <v>1251</v>
      </c>
      <c r="B272" s="4" t="s">
        <v>816</v>
      </c>
      <c r="C272" s="1">
        <v>2020</v>
      </c>
      <c r="D272" s="1">
        <v>4</v>
      </c>
      <c r="E272" s="1">
        <v>1101</v>
      </c>
    </row>
    <row r="273" spans="1:5" x14ac:dyDescent="0.25">
      <c r="A273" s="3" t="s">
        <v>1251</v>
      </c>
      <c r="B273" s="4" t="s">
        <v>816</v>
      </c>
      <c r="C273" s="1">
        <v>2021</v>
      </c>
      <c r="D273" s="1">
        <v>4</v>
      </c>
      <c r="E273" s="1">
        <v>1177</v>
      </c>
    </row>
    <row r="274" spans="1:5" x14ac:dyDescent="0.25">
      <c r="A274" s="3" t="s">
        <v>1251</v>
      </c>
      <c r="B274" s="4" t="s">
        <v>816</v>
      </c>
      <c r="C274" s="1">
        <v>2022</v>
      </c>
      <c r="D274" s="1">
        <v>0</v>
      </c>
      <c r="E274" s="1">
        <v>0</v>
      </c>
    </row>
    <row r="275" spans="1:5" x14ac:dyDescent="0.25">
      <c r="A275" s="3" t="s">
        <v>1251</v>
      </c>
      <c r="B275" s="4" t="s">
        <v>816</v>
      </c>
      <c r="C275" s="1">
        <v>2023</v>
      </c>
      <c r="D275" s="1">
        <v>0</v>
      </c>
      <c r="E275" s="1">
        <v>0</v>
      </c>
    </row>
    <row r="276" spans="1:5" x14ac:dyDescent="0.25">
      <c r="A276" s="3" t="s">
        <v>1252</v>
      </c>
      <c r="B276" s="4" t="s">
        <v>785</v>
      </c>
      <c r="C276" s="1">
        <v>2018</v>
      </c>
      <c r="D276" s="1">
        <v>0</v>
      </c>
      <c r="E276" s="1">
        <v>0</v>
      </c>
    </row>
    <row r="277" spans="1:5" x14ac:dyDescent="0.25">
      <c r="A277" s="3" t="s">
        <v>1252</v>
      </c>
      <c r="B277" s="4" t="s">
        <v>785</v>
      </c>
      <c r="C277" s="1">
        <v>2019</v>
      </c>
      <c r="D277" s="1">
        <v>0</v>
      </c>
      <c r="E277" s="1">
        <v>0</v>
      </c>
    </row>
    <row r="278" spans="1:5" x14ac:dyDescent="0.25">
      <c r="A278" s="3" t="s">
        <v>1252</v>
      </c>
      <c r="B278" s="4" t="s">
        <v>785</v>
      </c>
      <c r="C278" s="1">
        <v>2020</v>
      </c>
      <c r="D278" s="1">
        <v>0</v>
      </c>
      <c r="E278" s="1">
        <v>0</v>
      </c>
    </row>
    <row r="279" spans="1:5" x14ac:dyDescent="0.25">
      <c r="A279" s="3" t="s">
        <v>1252</v>
      </c>
      <c r="B279" s="4" t="s">
        <v>785</v>
      </c>
      <c r="C279" s="1">
        <v>2021</v>
      </c>
      <c r="D279" s="1">
        <v>0</v>
      </c>
      <c r="E279" s="1">
        <v>0</v>
      </c>
    </row>
    <row r="280" spans="1:5" x14ac:dyDescent="0.25">
      <c r="A280" s="3" t="s">
        <v>1252</v>
      </c>
      <c r="B280" s="4" t="s">
        <v>785</v>
      </c>
      <c r="C280" s="1">
        <v>2022</v>
      </c>
      <c r="D280" s="1">
        <v>0</v>
      </c>
      <c r="E280" s="1">
        <v>0</v>
      </c>
    </row>
    <row r="281" spans="1:5" x14ac:dyDescent="0.25">
      <c r="A281" s="3" t="s">
        <v>1252</v>
      </c>
      <c r="B281" s="4" t="s">
        <v>785</v>
      </c>
      <c r="C281" s="1">
        <v>2023</v>
      </c>
      <c r="D281" s="1">
        <v>0</v>
      </c>
      <c r="E281" s="1">
        <v>0</v>
      </c>
    </row>
  </sheetData>
  <sheetProtection password="E593" sheet="1" objects="1" scenarios="1"/>
  <customSheetViews>
    <customSheetView guid="{B63065A1-7838-417A-8679-08A8A2B79CD8}">
      <selection activeCell="H4" sqref="H4"/>
      <pageMargins left="0.25" right="0.25" top="1" bottom="0.5" header="0.5" footer="0.5"/>
      <printOptions headings="1" gridLines="1"/>
      <pageSetup scale="75" orientation="landscape" verticalDpi="1200" r:id="rId1"/>
      <headerFooter alignWithMargins="0"/>
    </customSheetView>
  </customSheetViews>
  <printOptions headings="1" gridLines="1"/>
  <pageMargins left="0.25" right="0.25" top="1" bottom="0.5" header="0.5" footer="0.5"/>
  <pageSetup scale="75" orientation="landscape" verticalDpi="1200" r:id="rId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pageSetUpPr fitToPage="1"/>
  </sheetPr>
  <dimension ref="A1:AD98"/>
  <sheetViews>
    <sheetView showGridLines="0" zoomScaleNormal="100" workbookViewId="0">
      <selection activeCell="I38" sqref="I38"/>
    </sheetView>
  </sheetViews>
  <sheetFormatPr defaultRowHeight="13.2" x14ac:dyDescent="0.25"/>
  <cols>
    <col min="1" max="2" width="8.5546875" style="28" customWidth="1"/>
    <col min="3" max="3" width="36.109375" style="28" customWidth="1"/>
    <col min="4" max="4" width="2.6640625" style="28" customWidth="1"/>
    <col min="5" max="5" width="6.88671875" style="28" customWidth="1"/>
    <col min="6" max="9" width="19" style="28" customWidth="1"/>
    <col min="10" max="10" width="17.109375" style="28" customWidth="1"/>
    <col min="11" max="11" width="8.88671875" style="28"/>
    <col min="12" max="12" width="39.88671875" style="28" customWidth="1"/>
    <col min="13" max="13" width="10.33203125" style="28" hidden="1" customWidth="1"/>
    <col min="14" max="14" width="2.109375" style="28" hidden="1" customWidth="1"/>
    <col min="15" max="15" width="9.6640625" style="28" hidden="1" customWidth="1"/>
    <col min="16" max="16" width="10.33203125" style="28" hidden="1" customWidth="1"/>
    <col min="17" max="18" width="10.33203125" style="28" bestFit="1" customWidth="1"/>
    <col min="19" max="19" width="9.6640625" style="28" bestFit="1" customWidth="1"/>
    <col min="20" max="20" width="9.88671875" style="28" bestFit="1" customWidth="1"/>
    <col min="21" max="22" width="10.33203125" style="28" bestFit="1" customWidth="1"/>
    <col min="23" max="23" width="9.6640625" style="28" bestFit="1" customWidth="1"/>
    <col min="24" max="26" width="10.33203125" style="28" bestFit="1" customWidth="1"/>
    <col min="27" max="27" width="9.6640625" style="28" bestFit="1" customWidth="1"/>
    <col min="28" max="28" width="10.33203125" style="28" bestFit="1" customWidth="1"/>
    <col min="29" max="16384" width="8.88671875" style="28"/>
  </cols>
  <sheetData>
    <row r="1" spans="1:30" x14ac:dyDescent="0.25">
      <c r="A1" s="1128"/>
      <c r="B1" s="1128"/>
      <c r="C1" s="1128" t="str">
        <f>TestYear &amp; " Test Year"</f>
        <v>2023 Test Year</v>
      </c>
      <c r="D1" s="469"/>
      <c r="E1" s="469"/>
      <c r="F1" s="469"/>
      <c r="G1" s="469"/>
      <c r="H1" s="469"/>
      <c r="I1" s="470"/>
      <c r="J1" s="470" t="s">
        <v>359</v>
      </c>
      <c r="K1" s="78"/>
    </row>
    <row r="2" spans="1:30" x14ac:dyDescent="0.25">
      <c r="A2" s="78"/>
      <c r="B2" s="78"/>
      <c r="C2" s="469"/>
      <c r="D2" s="469"/>
      <c r="E2" s="469"/>
      <c r="F2" s="469"/>
      <c r="G2" s="469"/>
      <c r="H2" s="469"/>
      <c r="I2" s="470"/>
      <c r="J2" s="78"/>
      <c r="K2" s="78"/>
    </row>
    <row r="3" spans="1:30" x14ac:dyDescent="0.25">
      <c r="A3" s="78"/>
      <c r="B3" s="78"/>
      <c r="C3" s="2488" t="str">
        <f>Utility</f>
        <v>Cleveland Water Utility</v>
      </c>
      <c r="D3" s="2488"/>
      <c r="E3" s="2488"/>
      <c r="F3" s="2488"/>
      <c r="G3" s="2488"/>
      <c r="H3" s="2488"/>
      <c r="I3" s="2488"/>
      <c r="J3" s="2488"/>
      <c r="K3" s="78"/>
    </row>
    <row r="4" spans="1:30" ht="7.5" customHeight="1" x14ac:dyDescent="0.25">
      <c r="A4" s="78"/>
      <c r="B4" s="78"/>
      <c r="C4" s="469"/>
      <c r="D4" s="469"/>
      <c r="E4" s="469"/>
      <c r="F4" s="469"/>
      <c r="G4" s="469"/>
      <c r="H4" s="469"/>
      <c r="I4" s="469"/>
      <c r="J4" s="78"/>
      <c r="K4" s="78"/>
    </row>
    <row r="5" spans="1:30" x14ac:dyDescent="0.25">
      <c r="A5" s="78"/>
      <c r="B5" s="78"/>
      <c r="C5" s="2489" t="s">
        <v>360</v>
      </c>
      <c r="D5" s="2489"/>
      <c r="E5" s="2489"/>
      <c r="F5" s="2489"/>
      <c r="G5" s="2489"/>
      <c r="H5" s="2489"/>
      <c r="I5" s="2489"/>
      <c r="J5" s="2489"/>
      <c r="K5" s="78"/>
    </row>
    <row r="6" spans="1:30" x14ac:dyDescent="0.25">
      <c r="A6" s="1146"/>
      <c r="B6" s="1146"/>
      <c r="C6" s="2490" t="str">
        <f>CONCATENATE("Estimated for Test Year ",TestYear)</f>
        <v>Estimated for Test Year 2023</v>
      </c>
      <c r="D6" s="2490"/>
      <c r="E6" s="2490"/>
      <c r="F6" s="2490"/>
      <c r="G6" s="2490"/>
      <c r="H6" s="2490"/>
      <c r="I6" s="2490"/>
      <c r="J6" s="2490"/>
      <c r="K6" s="78"/>
    </row>
    <row r="7" spans="1:30" x14ac:dyDescent="0.25">
      <c r="A7" s="78"/>
      <c r="B7" s="78"/>
      <c r="C7" s="1147"/>
      <c r="D7" s="469"/>
      <c r="E7" s="469"/>
      <c r="F7" s="1148"/>
      <c r="G7" s="1148"/>
      <c r="H7" s="1148"/>
      <c r="I7" s="469"/>
      <c r="J7" s="78"/>
      <c r="K7" s="78"/>
    </row>
    <row r="8" spans="1:30" ht="13.5" customHeight="1" x14ac:dyDescent="0.25">
      <c r="A8" s="78"/>
      <c r="B8" s="1751"/>
      <c r="C8" s="2096"/>
      <c r="D8" s="938"/>
      <c r="E8" s="938"/>
      <c r="F8" s="1840"/>
      <c r="G8" s="1840"/>
      <c r="H8" s="1840"/>
      <c r="I8" s="938"/>
      <c r="J8" s="1753"/>
      <c r="K8" s="78"/>
      <c r="L8" s="2487" t="s">
        <v>970</v>
      </c>
      <c r="M8" s="78"/>
      <c r="N8" s="78"/>
      <c r="O8" s="78"/>
      <c r="P8" s="78"/>
    </row>
    <row r="9" spans="1:30" x14ac:dyDescent="0.25">
      <c r="A9" s="78"/>
      <c r="B9" s="1765"/>
      <c r="C9" s="477" t="str">
        <f>CONCATENATE(" 1.  For the years ",TestYear-3,"-",TestYear-2,", use actual information reported in the PSC Annual Reports.")</f>
        <v xml:space="preserve"> 1.  For the years 2020-2021, use actual information reported in the PSC Annual Reports.</v>
      </c>
      <c r="D9" s="477"/>
      <c r="E9" s="477"/>
      <c r="F9" s="505"/>
      <c r="G9" s="505"/>
      <c r="H9" s="505"/>
      <c r="I9" s="477"/>
      <c r="J9" s="1754"/>
      <c r="K9" s="78"/>
      <c r="L9" s="2487"/>
      <c r="M9" s="78"/>
      <c r="N9" s="78"/>
      <c r="O9" s="78"/>
      <c r="P9" s="78"/>
    </row>
    <row r="10" spans="1:30" x14ac:dyDescent="0.25">
      <c r="A10" s="78"/>
      <c r="B10" s="1765"/>
      <c r="C10" s="477" t="str">
        <f>CONCATENATE(" 2.  For estimated ",TestYear-1," and test year ",TestYear,":")</f>
        <v xml:space="preserve"> 2.  For estimated 2022 and test year 2023:</v>
      </c>
      <c r="D10" s="477"/>
      <c r="E10" s="477"/>
      <c r="F10" s="505"/>
      <c r="G10" s="505"/>
      <c r="H10" s="505"/>
      <c r="I10" s="477"/>
      <c r="J10" s="1754"/>
      <c r="K10" s="78"/>
      <c r="L10" s="2487"/>
      <c r="M10" s="78"/>
      <c r="N10" s="78"/>
      <c r="O10" s="78"/>
      <c r="P10" s="78"/>
    </row>
    <row r="11" spans="1:30" x14ac:dyDescent="0.25">
      <c r="A11" s="78"/>
      <c r="B11" s="1765"/>
      <c r="C11" s="477" t="s">
        <v>361</v>
      </c>
      <c r="D11" s="477"/>
      <c r="E11" s="477"/>
      <c r="F11" s="505"/>
      <c r="G11" s="505"/>
      <c r="H11" s="505"/>
      <c r="I11" s="477"/>
      <c r="J11" s="1754"/>
      <c r="K11" s="78"/>
      <c r="L11" s="2487"/>
      <c r="M11" s="78"/>
      <c r="N11" s="78"/>
      <c r="O11" s="78"/>
      <c r="P11" s="78"/>
    </row>
    <row r="12" spans="1:30" x14ac:dyDescent="0.25">
      <c r="A12" s="78"/>
      <c r="B12" s="1765"/>
      <c r="C12" s="477" t="s">
        <v>362</v>
      </c>
      <c r="D12" s="477"/>
      <c r="E12" s="477"/>
      <c r="F12" s="505"/>
      <c r="G12" s="505"/>
      <c r="H12" s="505"/>
      <c r="I12" s="477"/>
      <c r="J12" s="1754"/>
      <c r="K12" s="78"/>
      <c r="L12" s="2487"/>
      <c r="M12" s="78"/>
      <c r="N12" s="78"/>
      <c r="O12" s="78"/>
      <c r="P12" s="78"/>
    </row>
    <row r="13" spans="1:30" ht="15.75" customHeight="1" x14ac:dyDescent="0.25">
      <c r="A13" s="78"/>
      <c r="B13" s="1765"/>
      <c r="C13" s="2048" t="s">
        <v>363</v>
      </c>
      <c r="D13" s="2050"/>
      <c r="E13" s="2050"/>
      <c r="F13" s="2050"/>
      <c r="G13" s="2050"/>
      <c r="H13" s="2050"/>
      <c r="I13" s="2050"/>
      <c r="J13" s="1754"/>
      <c r="K13" s="78"/>
      <c r="L13" s="2487"/>
      <c r="M13" s="78"/>
      <c r="N13" s="78"/>
      <c r="O13" s="78"/>
      <c r="P13" s="78"/>
    </row>
    <row r="14" spans="1:30" ht="15.75" customHeight="1" x14ac:dyDescent="0.25">
      <c r="A14" s="78"/>
      <c r="B14" s="1765"/>
      <c r="C14" s="2048" t="s">
        <v>364</v>
      </c>
      <c r="D14" s="2050"/>
      <c r="E14" s="2050"/>
      <c r="F14" s="2050"/>
      <c r="G14" s="2050"/>
      <c r="H14" s="2050"/>
      <c r="I14" s="2050"/>
      <c r="J14" s="1754"/>
      <c r="K14" s="78"/>
      <c r="L14" s="2487"/>
      <c r="M14" s="78"/>
      <c r="N14" s="78"/>
      <c r="O14" s="78"/>
      <c r="P14" s="78"/>
    </row>
    <row r="15" spans="1:30" x14ac:dyDescent="0.25">
      <c r="A15" s="78"/>
      <c r="B15" s="1765"/>
      <c r="C15" s="477" t="s">
        <v>365</v>
      </c>
      <c r="D15" s="477"/>
      <c r="E15" s="477"/>
      <c r="F15" s="505"/>
      <c r="G15" s="505"/>
      <c r="H15" s="505"/>
      <c r="I15" s="477"/>
      <c r="J15" s="1754"/>
      <c r="K15" s="78"/>
      <c r="L15" s="2487"/>
      <c r="M15" s="78"/>
      <c r="N15" s="78"/>
      <c r="O15" s="78"/>
      <c r="P15" s="78"/>
    </row>
    <row r="16" spans="1:30" x14ac:dyDescent="0.25">
      <c r="A16" s="78"/>
      <c r="B16" s="1765"/>
      <c r="C16" s="477" t="s">
        <v>366</v>
      </c>
      <c r="D16" s="477"/>
      <c r="E16" s="477"/>
      <c r="F16" s="505"/>
      <c r="G16" s="505"/>
      <c r="H16" s="505"/>
      <c r="I16" s="477"/>
      <c r="J16" s="1754"/>
      <c r="K16" s="78"/>
      <c r="L16" s="2487"/>
      <c r="M16" s="78"/>
      <c r="N16" s="78"/>
      <c r="O16" s="78"/>
      <c r="P16" s="78"/>
      <c r="Q16" s="57"/>
      <c r="R16" s="1335"/>
      <c r="S16" s="57"/>
      <c r="T16" s="57"/>
      <c r="U16" s="57"/>
      <c r="V16" s="57"/>
      <c r="W16" s="57"/>
      <c r="X16" s="57"/>
      <c r="Y16" s="57"/>
      <c r="Z16" s="57"/>
      <c r="AA16" s="57"/>
      <c r="AB16" s="57"/>
      <c r="AC16" s="57"/>
      <c r="AD16" s="57"/>
    </row>
    <row r="17" spans="1:30" x14ac:dyDescent="0.25">
      <c r="A17" s="78"/>
      <c r="B17" s="1765"/>
      <c r="C17" s="477" t="s">
        <v>367</v>
      </c>
      <c r="D17" s="477"/>
      <c r="E17" s="477"/>
      <c r="F17" s="505"/>
      <c r="G17" s="505"/>
      <c r="H17" s="505"/>
      <c r="I17" s="477"/>
      <c r="J17" s="1754"/>
      <c r="K17" s="78"/>
      <c r="L17" s="2487"/>
      <c r="M17" s="78"/>
      <c r="N17" s="78"/>
      <c r="O17" s="78"/>
      <c r="P17" s="78"/>
      <c r="Q17" s="57"/>
      <c r="R17" s="57"/>
      <c r="S17" s="57"/>
      <c r="T17" s="57"/>
      <c r="U17" s="57"/>
      <c r="V17" s="57"/>
      <c r="W17" s="57"/>
      <c r="X17" s="57"/>
      <c r="Y17" s="57"/>
      <c r="Z17" s="57"/>
      <c r="AA17" s="57"/>
      <c r="AB17" s="57"/>
      <c r="AC17" s="57"/>
      <c r="AD17" s="57"/>
    </row>
    <row r="18" spans="1:30" x14ac:dyDescent="0.25">
      <c r="A18" s="78"/>
      <c r="B18" s="1765"/>
      <c r="C18" s="477" t="s">
        <v>368</v>
      </c>
      <c r="D18" s="477"/>
      <c r="E18" s="477"/>
      <c r="F18" s="505"/>
      <c r="G18" s="505"/>
      <c r="H18" s="505"/>
      <c r="I18" s="477"/>
      <c r="J18" s="1754"/>
      <c r="K18" s="78"/>
      <c r="L18" s="2487"/>
      <c r="M18" s="78"/>
      <c r="N18" s="78"/>
      <c r="O18" s="78"/>
      <c r="P18" s="78"/>
      <c r="Q18" s="57"/>
      <c r="R18" s="57"/>
      <c r="S18" s="57"/>
      <c r="T18" s="57"/>
      <c r="U18" s="57"/>
      <c r="V18" s="57"/>
      <c r="W18" s="57"/>
      <c r="X18" s="57"/>
      <c r="Y18" s="57"/>
      <c r="Z18" s="57"/>
      <c r="AA18" s="57"/>
      <c r="AB18" s="57"/>
      <c r="AC18" s="57"/>
      <c r="AD18" s="57"/>
    </row>
    <row r="19" spans="1:30" x14ac:dyDescent="0.25">
      <c r="A19" s="78"/>
      <c r="B19" s="1765"/>
      <c r="C19" s="477" t="s">
        <v>1289</v>
      </c>
      <c r="D19" s="477"/>
      <c r="E19" s="477"/>
      <c r="F19" s="505"/>
      <c r="G19" s="505"/>
      <c r="H19" s="505"/>
      <c r="I19" s="477"/>
      <c r="J19" s="1754"/>
      <c r="K19" s="78"/>
      <c r="L19" s="2487"/>
      <c r="M19" s="78"/>
      <c r="N19" s="78"/>
      <c r="O19" s="78"/>
      <c r="P19" s="78"/>
      <c r="Q19" s="57"/>
      <c r="R19" s="57"/>
      <c r="S19" s="57"/>
      <c r="T19" s="57"/>
      <c r="U19" s="57"/>
      <c r="V19" s="57"/>
      <c r="W19" s="57"/>
      <c r="X19" s="57"/>
      <c r="Y19" s="57"/>
      <c r="Z19" s="57"/>
      <c r="AA19" s="57"/>
      <c r="AB19" s="57"/>
      <c r="AC19" s="57"/>
      <c r="AD19" s="57"/>
    </row>
    <row r="20" spans="1:30" x14ac:dyDescent="0.25">
      <c r="A20" s="78"/>
      <c r="B20" s="1765"/>
      <c r="C20" s="477" t="s">
        <v>369</v>
      </c>
      <c r="D20" s="477"/>
      <c r="E20" s="477"/>
      <c r="F20" s="505"/>
      <c r="G20" s="505"/>
      <c r="H20" s="505"/>
      <c r="I20" s="477"/>
      <c r="J20" s="1754"/>
      <c r="K20" s="78"/>
      <c r="L20" s="2487"/>
      <c r="M20" s="78"/>
      <c r="N20" s="78"/>
      <c r="O20" s="78"/>
      <c r="P20" s="78"/>
      <c r="Q20" s="57"/>
      <c r="R20" s="57"/>
      <c r="S20" s="57"/>
      <c r="T20" s="57"/>
      <c r="U20" s="57"/>
      <c r="V20" s="57"/>
      <c r="W20" s="57"/>
      <c r="X20" s="57"/>
      <c r="Y20" s="57"/>
      <c r="Z20" s="57"/>
      <c r="AA20" s="57"/>
      <c r="AB20" s="57"/>
      <c r="AC20" s="57"/>
      <c r="AD20" s="57"/>
    </row>
    <row r="21" spans="1:30" x14ac:dyDescent="0.25">
      <c r="A21" s="78"/>
      <c r="B21" s="1765"/>
      <c r="C21" s="477" t="s">
        <v>370</v>
      </c>
      <c r="D21" s="477"/>
      <c r="E21" s="477"/>
      <c r="F21" s="505"/>
      <c r="G21" s="505"/>
      <c r="H21" s="505"/>
      <c r="I21" s="477"/>
      <c r="J21" s="1754"/>
      <c r="K21" s="78"/>
      <c r="L21" s="2487"/>
      <c r="M21" s="78"/>
      <c r="N21" s="78"/>
      <c r="O21" s="78"/>
      <c r="P21" s="78"/>
      <c r="Q21" s="57"/>
      <c r="R21" s="57"/>
      <c r="S21" s="57"/>
      <c r="T21" s="57"/>
      <c r="U21" s="57"/>
      <c r="V21" s="57"/>
      <c r="W21" s="57"/>
      <c r="X21" s="57"/>
      <c r="Y21" s="57"/>
      <c r="Z21" s="57"/>
      <c r="AA21" s="57"/>
      <c r="AB21" s="57"/>
      <c r="AC21" s="57"/>
      <c r="AD21" s="57"/>
    </row>
    <row r="22" spans="1:30" x14ac:dyDescent="0.25">
      <c r="A22" s="78"/>
      <c r="B22" s="1765"/>
      <c r="C22" s="477" t="s">
        <v>371</v>
      </c>
      <c r="D22" s="477"/>
      <c r="E22" s="477"/>
      <c r="F22" s="505"/>
      <c r="G22" s="505"/>
      <c r="H22" s="505"/>
      <c r="I22" s="477"/>
      <c r="J22" s="1754"/>
      <c r="K22" s="78"/>
      <c r="L22" s="2487"/>
      <c r="M22" s="78"/>
      <c r="N22" s="78"/>
      <c r="O22" s="78"/>
      <c r="P22" s="78"/>
      <c r="Q22" s="57"/>
      <c r="R22" s="57"/>
      <c r="S22" s="57"/>
      <c r="T22" s="57"/>
      <c r="U22" s="57"/>
      <c r="V22" s="57"/>
      <c r="W22" s="57"/>
      <c r="X22" s="57"/>
      <c r="Y22" s="57"/>
      <c r="Z22" s="57"/>
      <c r="AA22" s="57"/>
      <c r="AB22" s="57"/>
      <c r="AC22" s="57"/>
      <c r="AD22" s="57"/>
    </row>
    <row r="23" spans="1:30" x14ac:dyDescent="0.25">
      <c r="A23" s="78"/>
      <c r="B23" s="1765"/>
      <c r="C23" s="477" t="s">
        <v>372</v>
      </c>
      <c r="D23" s="477"/>
      <c r="E23" s="477"/>
      <c r="F23" s="477"/>
      <c r="G23" s="477"/>
      <c r="H23" s="477"/>
      <c r="I23" s="477"/>
      <c r="J23" s="1754"/>
      <c r="K23" s="78"/>
      <c r="L23" s="2487"/>
      <c r="M23" s="78"/>
      <c r="N23" s="78"/>
      <c r="O23" s="78"/>
      <c r="P23" s="78"/>
      <c r="Q23" s="57"/>
      <c r="R23" s="57"/>
      <c r="S23" s="57"/>
      <c r="T23" s="57"/>
      <c r="U23" s="57"/>
      <c r="V23" s="57"/>
      <c r="W23" s="57"/>
      <c r="X23" s="57"/>
      <c r="Y23" s="57"/>
      <c r="Z23" s="57"/>
      <c r="AA23" s="57"/>
      <c r="AB23" s="57"/>
      <c r="AC23" s="57"/>
      <c r="AD23" s="57"/>
    </row>
    <row r="24" spans="1:30" x14ac:dyDescent="0.25">
      <c r="A24" s="78"/>
      <c r="B24" s="1765"/>
      <c r="C24" s="477" t="s">
        <v>1291</v>
      </c>
      <c r="D24" s="477"/>
      <c r="E24" s="477"/>
      <c r="F24" s="477"/>
      <c r="G24" s="477"/>
      <c r="H24" s="477"/>
      <c r="I24" s="477"/>
      <c r="J24" s="1754"/>
      <c r="K24" s="78"/>
      <c r="L24" s="2487"/>
      <c r="M24" s="78"/>
      <c r="N24" s="78"/>
      <c r="O24" s="78"/>
      <c r="P24" s="78"/>
      <c r="Q24" s="57"/>
      <c r="R24" s="57"/>
      <c r="S24" s="57"/>
      <c r="T24" s="57"/>
      <c r="U24" s="57"/>
      <c r="V24" s="57"/>
      <c r="W24" s="57"/>
      <c r="X24" s="57"/>
      <c r="Y24" s="57"/>
      <c r="Z24" s="57"/>
      <c r="AA24" s="57"/>
      <c r="AB24" s="57"/>
      <c r="AC24" s="57"/>
      <c r="AD24" s="57"/>
    </row>
    <row r="25" spans="1:30" x14ac:dyDescent="0.25">
      <c r="A25" s="78"/>
      <c r="B25" s="1765"/>
      <c r="C25" s="477" t="s">
        <v>1290</v>
      </c>
      <c r="D25" s="477"/>
      <c r="E25" s="477"/>
      <c r="F25" s="477"/>
      <c r="G25" s="477"/>
      <c r="H25" s="477"/>
      <c r="I25" s="477"/>
      <c r="J25" s="1754"/>
      <c r="K25" s="78"/>
      <c r="L25" s="2487"/>
      <c r="M25" s="78"/>
      <c r="N25" s="78"/>
      <c r="O25" s="78"/>
      <c r="P25" s="78"/>
      <c r="Q25" s="57"/>
      <c r="R25" s="57"/>
      <c r="S25" s="57"/>
      <c r="T25" s="57"/>
      <c r="U25" s="57"/>
      <c r="V25" s="57"/>
      <c r="W25" s="57"/>
      <c r="X25" s="57"/>
      <c r="Y25" s="57"/>
      <c r="Z25" s="57"/>
      <c r="AA25" s="57"/>
      <c r="AB25" s="57"/>
      <c r="AC25" s="57"/>
      <c r="AD25" s="57"/>
    </row>
    <row r="26" spans="1:30" x14ac:dyDescent="0.25">
      <c r="A26" s="78"/>
      <c r="B26" s="1765"/>
      <c r="C26" s="477"/>
      <c r="D26" s="477"/>
      <c r="E26" s="477"/>
      <c r="F26" s="477"/>
      <c r="G26" s="477"/>
      <c r="H26" s="477"/>
      <c r="I26" s="477"/>
      <c r="J26" s="1754"/>
      <c r="K26" s="78"/>
      <c r="L26" s="2487"/>
      <c r="M26" s="78"/>
      <c r="N26" s="78"/>
      <c r="O26" s="78"/>
      <c r="P26" s="78"/>
      <c r="Q26" s="57"/>
      <c r="R26" s="57"/>
      <c r="S26" s="57"/>
      <c r="T26" s="57"/>
      <c r="U26" s="57"/>
      <c r="V26" s="57"/>
      <c r="W26" s="57"/>
      <c r="X26" s="57"/>
      <c r="Y26" s="57"/>
      <c r="Z26" s="57"/>
      <c r="AA26" s="57"/>
      <c r="AB26" s="57"/>
      <c r="AC26" s="57"/>
      <c r="AD26" s="57"/>
    </row>
    <row r="27" spans="1:30" x14ac:dyDescent="0.25">
      <c r="A27" s="78"/>
      <c r="B27" s="1765"/>
      <c r="C27" s="2097"/>
      <c r="D27" s="938"/>
      <c r="E27" s="938"/>
      <c r="F27" s="2047" t="s">
        <v>8</v>
      </c>
      <c r="G27" s="2047" t="s">
        <v>8</v>
      </c>
      <c r="H27" s="2047" t="str">
        <f>Data!H5</f>
        <v>Estimated</v>
      </c>
      <c r="I27" s="2098" t="s">
        <v>313</v>
      </c>
      <c r="J27" s="1754"/>
      <c r="K27" s="78"/>
      <c r="L27" s="2487"/>
      <c r="M27" s="78"/>
      <c r="N27" s="78"/>
      <c r="O27" s="78"/>
      <c r="P27" s="78"/>
      <c r="Q27" s="57"/>
      <c r="R27" s="57"/>
      <c r="S27" s="57"/>
      <c r="T27" s="57"/>
      <c r="U27" s="57"/>
      <c r="V27" s="57"/>
      <c r="W27" s="57"/>
      <c r="X27" s="57"/>
      <c r="Y27" s="57"/>
      <c r="Z27" s="57"/>
      <c r="AA27" s="57"/>
      <c r="AB27" s="57"/>
      <c r="AC27" s="57"/>
      <c r="AD27" s="57"/>
    </row>
    <row r="28" spans="1:30" x14ac:dyDescent="0.25">
      <c r="A28" s="78"/>
      <c r="B28" s="1765"/>
      <c r="C28" s="1843" t="s">
        <v>315</v>
      </c>
      <c r="D28" s="536"/>
      <c r="E28" s="536" t="s">
        <v>373</v>
      </c>
      <c r="F28" s="536">
        <f>TestYear-3</f>
        <v>2020</v>
      </c>
      <c r="G28" s="536">
        <f>TestYear-2</f>
        <v>2021</v>
      </c>
      <c r="H28" s="536">
        <f>TestYear-1</f>
        <v>2022</v>
      </c>
      <c r="I28" s="2099">
        <f>TestYear</f>
        <v>2023</v>
      </c>
      <c r="J28" s="1754"/>
      <c r="K28" s="78"/>
      <c r="L28" s="1379"/>
      <c r="M28" s="78"/>
      <c r="N28" s="78"/>
      <c r="O28" s="78"/>
      <c r="P28" s="78"/>
      <c r="Q28" s="57"/>
      <c r="R28" s="57"/>
      <c r="S28" s="57"/>
      <c r="T28" s="57"/>
      <c r="U28" s="57"/>
      <c r="V28" s="57"/>
      <c r="W28" s="57"/>
      <c r="X28" s="57"/>
      <c r="Y28" s="57"/>
      <c r="Z28" s="57"/>
      <c r="AA28" s="57"/>
      <c r="AB28" s="57"/>
      <c r="AC28" s="57"/>
      <c r="AD28" s="57"/>
    </row>
    <row r="29" spans="1:30" x14ac:dyDescent="0.25">
      <c r="A29" s="78"/>
      <c r="B29" s="1765"/>
      <c r="C29" s="1842" t="s">
        <v>374</v>
      </c>
      <c r="D29" s="536"/>
      <c r="E29" s="536"/>
      <c r="F29" s="536"/>
      <c r="G29" s="536"/>
      <c r="H29" s="536"/>
      <c r="I29" s="2099"/>
      <c r="J29" s="1754"/>
      <c r="K29" s="78"/>
      <c r="L29" s="1379"/>
      <c r="M29" s="78"/>
      <c r="N29" s="78"/>
      <c r="O29" s="78"/>
      <c r="P29" s="78"/>
      <c r="Q29" s="57"/>
      <c r="R29" s="57"/>
      <c r="S29" s="57"/>
      <c r="T29" s="57"/>
      <c r="U29" s="57"/>
      <c r="V29" s="57"/>
      <c r="W29" s="57"/>
      <c r="X29" s="57"/>
      <c r="Y29" s="57"/>
      <c r="Z29" s="57"/>
      <c r="AA29" s="57"/>
      <c r="AB29" s="57"/>
      <c r="AC29" s="57"/>
      <c r="AD29" s="57"/>
    </row>
    <row r="30" spans="1:30" x14ac:dyDescent="0.25">
      <c r="A30" s="78"/>
      <c r="B30" s="1765"/>
      <c r="C30" s="1842" t="s">
        <v>375</v>
      </c>
      <c r="D30" s="2048"/>
      <c r="E30" s="535">
        <v>1</v>
      </c>
      <c r="F30" s="1150">
        <f>Data!L100</f>
        <v>2191166</v>
      </c>
      <c r="G30" s="1150">
        <f>Data!L99</f>
        <v>2341714</v>
      </c>
      <c r="H30" s="1360"/>
      <c r="I30" s="2100"/>
      <c r="J30" s="1754"/>
      <c r="K30" s="78"/>
      <c r="L30" s="1379"/>
      <c r="M30" s="1378"/>
      <c r="N30" s="1378"/>
      <c r="O30" s="1378"/>
      <c r="P30" s="1378"/>
      <c r="Q30" s="1335"/>
      <c r="R30" s="1335"/>
      <c r="S30" s="1335"/>
      <c r="T30" s="1335"/>
      <c r="U30" s="1335"/>
      <c r="V30" s="1335"/>
      <c r="W30" s="1335"/>
      <c r="X30" s="1335"/>
      <c r="Y30" s="1335"/>
      <c r="Z30" s="1335"/>
      <c r="AA30" s="1335"/>
      <c r="AB30" s="1335"/>
      <c r="AC30" s="57"/>
      <c r="AD30" s="57"/>
    </row>
    <row r="31" spans="1:30" x14ac:dyDescent="0.25">
      <c r="A31" s="78"/>
      <c r="B31" s="1765"/>
      <c r="C31" s="1842" t="s">
        <v>376</v>
      </c>
      <c r="D31" s="2048"/>
      <c r="E31" s="535" t="s">
        <v>377</v>
      </c>
      <c r="F31" s="1360"/>
      <c r="G31" s="1360"/>
      <c r="H31" s="1150">
        <f>IF(H38=0,0,Attach11!D92)</f>
        <v>1824745</v>
      </c>
      <c r="I31" s="2101">
        <f>IF(I38=0,0,Attach11!H92)</f>
        <v>2383891</v>
      </c>
      <c r="J31" s="1754"/>
      <c r="K31" s="78"/>
      <c r="L31" s="1379"/>
      <c r="M31" s="1378"/>
      <c r="N31" s="1378"/>
      <c r="O31" s="1378"/>
      <c r="P31" s="1378"/>
      <c r="Q31" s="1335"/>
      <c r="R31" s="1335"/>
      <c r="S31" s="1335"/>
      <c r="T31" s="1335"/>
      <c r="U31" s="1335"/>
      <c r="V31" s="1335"/>
      <c r="W31" s="1335"/>
      <c r="X31" s="1335"/>
      <c r="Y31" s="1335"/>
      <c r="Z31" s="1335"/>
      <c r="AA31" s="1335"/>
      <c r="AB31" s="1335"/>
      <c r="AC31" s="57"/>
      <c r="AD31" s="57"/>
    </row>
    <row r="32" spans="1:30" x14ac:dyDescent="0.25">
      <c r="A32" s="78"/>
      <c r="B32" s="1765"/>
      <c r="C32" s="1842" t="s">
        <v>378</v>
      </c>
      <c r="D32" s="2048"/>
      <c r="E32" s="535" t="s">
        <v>377</v>
      </c>
      <c r="F32" s="1360"/>
      <c r="G32" s="1360"/>
      <c r="H32" s="1150">
        <f>IF(H38=0,0,Attach11a!D94)</f>
        <v>527328</v>
      </c>
      <c r="I32" s="2101">
        <f>IF(I38=0,0,Attach11a!H94)</f>
        <v>527328</v>
      </c>
      <c r="J32" s="1754"/>
      <c r="K32" s="78"/>
      <c r="L32" s="1379"/>
      <c r="M32" s="1378"/>
      <c r="N32" s="1378"/>
      <c r="O32" s="1378"/>
      <c r="P32" s="1378"/>
      <c r="Q32" s="1335"/>
      <c r="R32" s="1335"/>
      <c r="S32" s="1335"/>
      <c r="T32" s="1335"/>
      <c r="U32" s="1335"/>
      <c r="V32" s="1335"/>
      <c r="W32" s="1335"/>
      <c r="X32" s="1335"/>
      <c r="Y32" s="1335"/>
      <c r="Z32" s="1335"/>
      <c r="AA32" s="1335"/>
      <c r="AB32" s="1335"/>
      <c r="AC32" s="57"/>
      <c r="AD32" s="57"/>
    </row>
    <row r="33" spans="1:30" x14ac:dyDescent="0.25">
      <c r="A33" s="78"/>
      <c r="B33" s="1765"/>
      <c r="C33" s="1842" t="s">
        <v>379</v>
      </c>
      <c r="D33" s="2048"/>
      <c r="E33" s="535" t="s">
        <v>380</v>
      </c>
      <c r="F33" s="1360"/>
      <c r="G33" s="1360"/>
      <c r="H33" s="1360"/>
      <c r="I33" s="2101">
        <f>+Attach11!I92-Attach11!J92+Attach11a!I94-Attach11a!J94</f>
        <v>0</v>
      </c>
      <c r="J33" s="1754"/>
      <c r="K33" s="78"/>
      <c r="L33" s="1379"/>
      <c r="M33" s="1378"/>
      <c r="N33" s="1378"/>
      <c r="O33" s="1378"/>
      <c r="P33" s="1378"/>
      <c r="Q33" s="1335"/>
      <c r="R33" s="1335"/>
      <c r="S33" s="1335"/>
      <c r="T33" s="1335"/>
      <c r="U33" s="1335"/>
      <c r="V33" s="1335"/>
      <c r="W33" s="1335"/>
      <c r="X33" s="1335"/>
      <c r="Y33" s="1335"/>
      <c r="Z33" s="1335"/>
      <c r="AA33" s="1335"/>
      <c r="AB33" s="1335"/>
      <c r="AC33" s="57"/>
      <c r="AD33" s="57"/>
    </row>
    <row r="34" spans="1:30" x14ac:dyDescent="0.25">
      <c r="A34" s="78"/>
      <c r="B34" s="1765"/>
      <c r="C34" s="1842" t="s">
        <v>381</v>
      </c>
      <c r="D34" s="2048"/>
      <c r="E34" s="535" t="s">
        <v>382</v>
      </c>
      <c r="F34" s="1360"/>
      <c r="G34" s="1360"/>
      <c r="H34" s="1151">
        <v>0</v>
      </c>
      <c r="I34" s="1151">
        <v>5509</v>
      </c>
      <c r="J34" s="1754"/>
      <c r="K34" s="78"/>
      <c r="L34" s="1379"/>
      <c r="M34" s="1378"/>
      <c r="N34" s="1378"/>
      <c r="O34" s="1378"/>
      <c r="P34" s="1378"/>
      <c r="Q34" s="1335"/>
      <c r="R34" s="1335"/>
      <c r="S34" s="1335"/>
      <c r="T34" s="1335"/>
      <c r="U34" s="1335"/>
      <c r="V34" s="1335"/>
      <c r="W34" s="1335"/>
      <c r="X34" s="1335"/>
      <c r="Y34" s="1335"/>
      <c r="Z34" s="1335"/>
      <c r="AA34" s="1335"/>
      <c r="AB34" s="1335"/>
      <c r="AC34" s="57"/>
      <c r="AD34" s="57"/>
    </row>
    <row r="35" spans="1:30" x14ac:dyDescent="0.25">
      <c r="A35" s="78"/>
      <c r="B35" s="1765"/>
      <c r="C35" s="1842" t="s">
        <v>383</v>
      </c>
      <c r="D35" s="2048"/>
      <c r="E35" s="535" t="s">
        <v>384</v>
      </c>
      <c r="F35" s="1150">
        <f>Attach13!I31</f>
        <v>18767</v>
      </c>
      <c r="G35" s="1150">
        <f>Attach13!I32</f>
        <v>17705</v>
      </c>
      <c r="H35" s="1150">
        <f>Attach13!I33</f>
        <v>22568</v>
      </c>
      <c r="I35" s="2101">
        <f>Attach13!I34</f>
        <v>23000</v>
      </c>
      <c r="J35" s="1754"/>
      <c r="K35" s="78"/>
      <c r="L35" s="1379"/>
      <c r="M35" s="1378"/>
      <c r="N35" s="1378"/>
      <c r="O35" s="1378"/>
      <c r="P35" s="1378"/>
      <c r="Q35" s="1335"/>
      <c r="R35" s="1335"/>
      <c r="S35" s="1335"/>
      <c r="T35" s="1335"/>
      <c r="U35" s="1335"/>
      <c r="V35" s="1335"/>
      <c r="W35" s="1335"/>
      <c r="X35" s="1335"/>
      <c r="Y35" s="1335"/>
      <c r="Z35" s="1335"/>
      <c r="AA35" s="1335"/>
      <c r="AB35" s="1335"/>
      <c r="AC35" s="57"/>
      <c r="AD35" s="57"/>
    </row>
    <row r="36" spans="1:30" ht="15.75" customHeight="1" x14ac:dyDescent="0.25">
      <c r="A36" s="78"/>
      <c r="B36" s="1765"/>
      <c r="C36" s="1842" t="s">
        <v>870</v>
      </c>
      <c r="D36" s="2048"/>
      <c r="E36" s="535" t="s">
        <v>385</v>
      </c>
      <c r="F36" s="1150">
        <f>Data!J100</f>
        <v>151225</v>
      </c>
      <c r="G36" s="1150">
        <f>Data!J99</f>
        <v>151225</v>
      </c>
      <c r="H36" s="1149">
        <v>151225</v>
      </c>
      <c r="I36" s="1330">
        <v>151225</v>
      </c>
      <c r="J36" s="1754"/>
      <c r="K36" s="78"/>
      <c r="L36" s="1379"/>
      <c r="M36" s="1378"/>
      <c r="N36" s="1378"/>
      <c r="O36" s="1378"/>
      <c r="P36" s="1378"/>
      <c r="Q36" s="1335"/>
      <c r="R36" s="1335"/>
      <c r="S36" s="1335"/>
      <c r="T36" s="1335"/>
      <c r="U36" s="1335"/>
      <c r="V36" s="1335"/>
      <c r="W36" s="1335"/>
      <c r="X36" s="1335"/>
      <c r="Y36" s="1335"/>
      <c r="Z36" s="1335"/>
      <c r="AA36" s="1335"/>
      <c r="AB36" s="1335"/>
      <c r="AC36" s="57"/>
      <c r="AD36" s="57"/>
    </row>
    <row r="37" spans="1:30" x14ac:dyDescent="0.25">
      <c r="A37" s="78"/>
      <c r="B37" s="1765"/>
      <c r="C37" s="1842" t="s">
        <v>386</v>
      </c>
      <c r="D37" s="2048"/>
      <c r="E37" s="535"/>
      <c r="F37" s="1152">
        <f>F30+F35-F36</f>
        <v>2058708</v>
      </c>
      <c r="G37" s="1152">
        <f>G30+G35-G36</f>
        <v>2208194</v>
      </c>
      <c r="H37" s="1152">
        <f>SUM(H31:H35)-H36</f>
        <v>2223416</v>
      </c>
      <c r="I37" s="2102">
        <f>SUM(I31:I35)-I36</f>
        <v>2788503</v>
      </c>
      <c r="J37" s="1754"/>
      <c r="K37" s="78"/>
      <c r="L37" s="1379"/>
      <c r="M37" s="78"/>
      <c r="N37" s="78"/>
      <c r="O37" s="78"/>
      <c r="P37" s="78"/>
      <c r="Q37" s="57"/>
      <c r="R37" s="57"/>
      <c r="S37" s="57"/>
      <c r="T37" s="57"/>
      <c r="U37" s="57"/>
      <c r="V37" s="57"/>
      <c r="W37" s="57"/>
      <c r="X37" s="57"/>
      <c r="Y37" s="57"/>
      <c r="Z37" s="57"/>
      <c r="AA37" s="57"/>
      <c r="AB37" s="57"/>
      <c r="AC37" s="57"/>
      <c r="AD37" s="57"/>
    </row>
    <row r="38" spans="1:30" x14ac:dyDescent="0.25">
      <c r="A38" s="78"/>
      <c r="B38" s="1765"/>
      <c r="C38" s="1842" t="s">
        <v>871</v>
      </c>
      <c r="D38" s="2048"/>
      <c r="E38" s="535" t="s">
        <v>387</v>
      </c>
      <c r="F38" s="1361">
        <f>IFERROR(IF(Data!K100=0,VLOOKUP($F$28,Data!$O$98:$AB$110,6,FALSE),Data!K100),0)</f>
        <v>0.90519499999999997</v>
      </c>
      <c r="G38" s="1361">
        <f>IFERROR(IF(Data!K99=0,VLOOKUP($G$28,Data!$O$98:$AB$110,6,FALSE),Data!K99),0)</f>
        <v>1.0847</v>
      </c>
      <c r="H38" s="1364">
        <v>0.86687700000000001</v>
      </c>
      <c r="I38" s="1331">
        <v>0.9</v>
      </c>
      <c r="J38" s="1754"/>
      <c r="K38" s="78"/>
      <c r="L38" s="1379"/>
      <c r="M38" s="78"/>
      <c r="N38" s="78"/>
      <c r="O38" s="78"/>
      <c r="P38" s="78"/>
      <c r="Q38" s="57"/>
      <c r="R38" s="57"/>
      <c r="S38" s="57"/>
      <c r="T38" s="57"/>
      <c r="U38" s="57"/>
      <c r="V38" s="57"/>
      <c r="W38" s="57"/>
      <c r="X38" s="57"/>
      <c r="Y38" s="57"/>
      <c r="Z38" s="57"/>
      <c r="AA38" s="57"/>
      <c r="AB38" s="57"/>
      <c r="AC38" s="57"/>
      <c r="AD38" s="57"/>
    </row>
    <row r="39" spans="1:30" x14ac:dyDescent="0.25">
      <c r="A39" s="78"/>
      <c r="B39" s="1765"/>
      <c r="C39" s="1842" t="s">
        <v>388</v>
      </c>
      <c r="D39" s="2048"/>
      <c r="E39" s="535"/>
      <c r="F39" s="1152">
        <f>F37*F38</f>
        <v>1863532.1880599998</v>
      </c>
      <c r="G39" s="1152">
        <f>G37*G38</f>
        <v>2395228.0318</v>
      </c>
      <c r="H39" s="1152">
        <f>H37*H38</f>
        <v>1927428.1918319999</v>
      </c>
      <c r="I39" s="2103">
        <f>I37*I38</f>
        <v>2509652.7000000002</v>
      </c>
      <c r="J39" s="1754"/>
      <c r="K39" s="78"/>
      <c r="L39" s="1379"/>
      <c r="M39" s="78"/>
      <c r="N39" s="78"/>
      <c r="O39" s="78"/>
      <c r="P39" s="78"/>
      <c r="Q39" s="57"/>
      <c r="R39" s="57"/>
      <c r="S39" s="57"/>
      <c r="T39" s="57"/>
      <c r="U39" s="57"/>
      <c r="V39" s="57"/>
      <c r="W39" s="57"/>
      <c r="X39" s="57"/>
      <c r="Y39" s="57"/>
      <c r="Z39" s="57"/>
      <c r="AA39" s="57"/>
      <c r="AB39" s="57"/>
      <c r="AC39" s="57"/>
      <c r="AD39" s="57"/>
    </row>
    <row r="40" spans="1:30" x14ac:dyDescent="0.25">
      <c r="A40" s="78"/>
      <c r="B40" s="1765"/>
      <c r="C40" s="1841" t="s">
        <v>389</v>
      </c>
      <c r="D40" s="477"/>
      <c r="E40" s="535"/>
      <c r="F40" s="519"/>
      <c r="G40" s="519"/>
      <c r="H40" s="477"/>
      <c r="I40" s="2104"/>
      <c r="J40" s="1754"/>
      <c r="K40" s="78"/>
      <c r="L40" s="1379"/>
      <c r="M40" s="78"/>
      <c r="N40" s="78"/>
      <c r="O40" s="78"/>
      <c r="P40" s="78"/>
      <c r="Q40" s="57"/>
      <c r="R40" s="57"/>
      <c r="S40" s="57"/>
      <c r="T40" s="57"/>
      <c r="U40" s="57"/>
      <c r="V40" s="57"/>
      <c r="W40" s="57"/>
      <c r="X40" s="57"/>
      <c r="Y40" s="57"/>
      <c r="Z40" s="57"/>
      <c r="AA40" s="57"/>
      <c r="AB40" s="57"/>
      <c r="AC40" s="57"/>
      <c r="AD40" s="57"/>
    </row>
    <row r="41" spans="1:30" x14ac:dyDescent="0.25">
      <c r="A41" s="78"/>
      <c r="B41" s="1765"/>
      <c r="C41" s="1841" t="s">
        <v>390</v>
      </c>
      <c r="D41" s="2048"/>
      <c r="E41" s="535" t="s">
        <v>387</v>
      </c>
      <c r="F41" s="1153">
        <f>F72</f>
        <v>16.259369485076384</v>
      </c>
      <c r="G41" s="1153">
        <f>G72</f>
        <v>13.847658695607576</v>
      </c>
      <c r="H41" s="1153">
        <f>H72</f>
        <v>13.584859565206562</v>
      </c>
      <c r="I41" s="2105">
        <f>I72</f>
        <v>13.992405040497953</v>
      </c>
      <c r="J41" s="1754"/>
      <c r="K41" s="78"/>
      <c r="L41" s="1379"/>
      <c r="M41" s="78"/>
      <c r="N41" s="78"/>
      <c r="O41" s="78"/>
      <c r="P41" s="78"/>
      <c r="Q41" s="57"/>
      <c r="R41" s="57"/>
      <c r="S41" s="57"/>
      <c r="T41" s="57"/>
      <c r="U41" s="57"/>
      <c r="V41" s="57"/>
      <c r="W41" s="57"/>
      <c r="X41" s="57"/>
      <c r="Y41" s="57"/>
      <c r="Z41" s="57"/>
      <c r="AA41" s="57"/>
      <c r="AB41" s="57"/>
      <c r="AC41" s="57"/>
      <c r="AD41" s="57"/>
    </row>
    <row r="42" spans="1:30" x14ac:dyDescent="0.25">
      <c r="A42" s="78"/>
      <c r="B42" s="1765"/>
      <c r="C42" s="1841" t="s">
        <v>391</v>
      </c>
      <c r="D42" s="2048"/>
      <c r="E42" s="535"/>
      <c r="F42" s="1153"/>
      <c r="G42" s="1153"/>
      <c r="H42" s="1153"/>
      <c r="I42" s="2105"/>
      <c r="J42" s="1754"/>
      <c r="K42" s="78"/>
      <c r="L42" s="1379"/>
      <c r="M42" s="78"/>
      <c r="N42" s="78"/>
      <c r="O42" s="78"/>
      <c r="P42" s="78"/>
      <c r="Q42" s="57"/>
      <c r="R42" s="57"/>
      <c r="S42" s="57"/>
      <c r="T42" s="57"/>
      <c r="U42" s="57"/>
      <c r="V42" s="57"/>
      <c r="W42" s="57"/>
      <c r="X42" s="57"/>
      <c r="Y42" s="57"/>
      <c r="Z42" s="57"/>
      <c r="AA42" s="57"/>
      <c r="AB42" s="57"/>
      <c r="AC42" s="57"/>
      <c r="AD42" s="57"/>
    </row>
    <row r="43" spans="1:30" x14ac:dyDescent="0.25">
      <c r="A43" s="78"/>
      <c r="B43" s="1765"/>
      <c r="C43" s="1841" t="s">
        <v>392</v>
      </c>
      <c r="D43" s="477"/>
      <c r="E43" s="535" t="s">
        <v>393</v>
      </c>
      <c r="F43" s="688">
        <f>(F39*F41)/1000</f>
        <v>30299.858393000388</v>
      </c>
      <c r="G43" s="688">
        <f>(G39*G41)/1000</f>
        <v>33168.300282518292</v>
      </c>
      <c r="H43" s="688">
        <f>(H39*H41)/1000</f>
        <v>26183.841308057734</v>
      </c>
      <c r="I43" s="2106">
        <f>(I39*I41)/1000</f>
        <v>35116.077089379301</v>
      </c>
      <c r="J43" s="1754"/>
      <c r="K43" s="78"/>
      <c r="L43" s="1379"/>
      <c r="M43" s="78"/>
      <c r="N43" s="78"/>
      <c r="O43" s="78"/>
      <c r="P43" s="78"/>
      <c r="Q43" s="57"/>
      <c r="R43" s="57"/>
      <c r="S43" s="57"/>
      <c r="T43" s="57"/>
      <c r="U43" s="57"/>
      <c r="V43" s="57"/>
      <c r="W43" s="57"/>
      <c r="X43" s="57"/>
      <c r="Y43" s="57"/>
      <c r="Z43" s="57"/>
      <c r="AA43" s="57"/>
      <c r="AB43" s="57"/>
      <c r="AC43" s="57"/>
      <c r="AD43" s="57"/>
    </row>
    <row r="44" spans="1:30" x14ac:dyDescent="0.25">
      <c r="A44" s="78"/>
      <c r="B44" s="1765"/>
      <c r="C44" s="1841" t="s">
        <v>394</v>
      </c>
      <c r="D44" s="477"/>
      <c r="E44" s="535">
        <v>1</v>
      </c>
      <c r="F44" s="1150">
        <f>Data!B105</f>
        <v>17203</v>
      </c>
      <c r="G44" s="1150">
        <f>Data!B104</f>
        <v>17203</v>
      </c>
      <c r="H44" s="1150">
        <f>G44</f>
        <v>17203</v>
      </c>
      <c r="I44" s="2101">
        <f>F44</f>
        <v>17203</v>
      </c>
      <c r="J44" s="1754"/>
      <c r="K44" s="78"/>
      <c r="L44" s="1379"/>
      <c r="M44" s="78"/>
      <c r="N44" s="78"/>
      <c r="O44" s="78"/>
      <c r="P44" s="78"/>
      <c r="Q44" s="57"/>
      <c r="R44" s="57"/>
      <c r="S44" s="57"/>
      <c r="T44" s="57"/>
      <c r="U44" s="57"/>
      <c r="V44" s="57"/>
      <c r="W44" s="57"/>
      <c r="X44" s="57"/>
      <c r="Y44" s="57"/>
      <c r="Z44" s="57"/>
      <c r="AA44" s="57"/>
      <c r="AB44" s="57"/>
      <c r="AC44" s="57"/>
      <c r="AD44" s="57"/>
    </row>
    <row r="45" spans="1:30" x14ac:dyDescent="0.25">
      <c r="A45" s="78"/>
      <c r="B45" s="1765"/>
      <c r="C45" s="1841" t="s">
        <v>395</v>
      </c>
      <c r="D45" s="477"/>
      <c r="E45" s="535" t="s">
        <v>393</v>
      </c>
      <c r="F45" s="1150">
        <f>IF(ISBLANK(Data!C105),"",Data!C105)</f>
        <v>0</v>
      </c>
      <c r="G45" s="1150">
        <f>IF(ISBLANK(Data!C104),"",Data!C104)</f>
        <v>0</v>
      </c>
      <c r="H45" s="1151"/>
      <c r="I45" s="1180"/>
      <c r="J45" s="1754"/>
      <c r="K45" s="78"/>
      <c r="L45" s="1379"/>
      <c r="M45" s="78"/>
      <c r="N45" s="78"/>
      <c r="O45" s="78"/>
      <c r="P45" s="78"/>
      <c r="Q45" s="57"/>
      <c r="R45" s="57"/>
      <c r="S45" s="57"/>
      <c r="T45" s="57"/>
      <c r="U45" s="57"/>
      <c r="V45" s="57"/>
      <c r="W45" s="57"/>
      <c r="X45" s="57"/>
      <c r="Y45" s="57"/>
      <c r="Z45" s="57"/>
      <c r="AA45" s="57"/>
      <c r="AB45" s="57"/>
      <c r="AC45" s="57"/>
      <c r="AD45" s="57"/>
    </row>
    <row r="46" spans="1:30" x14ac:dyDescent="0.25">
      <c r="A46" s="78"/>
      <c r="B46" s="1765"/>
      <c r="C46" s="1841" t="s">
        <v>396</v>
      </c>
      <c r="D46" s="477"/>
      <c r="E46" s="535" t="s">
        <v>397</v>
      </c>
      <c r="F46" s="1150">
        <f>Data!D105</f>
        <v>30300</v>
      </c>
      <c r="G46" s="1150">
        <f>Data!D104</f>
        <v>33168</v>
      </c>
      <c r="H46" s="1150">
        <f>IF(H45="",(IF(H43&gt;H44,H43,H44)),H45)</f>
        <v>26183.841308057734</v>
      </c>
      <c r="I46" s="2101">
        <f>IF(I45="",(IF(I43&gt;I44,I43,I44)),I45)</f>
        <v>35116.077089379301</v>
      </c>
      <c r="J46" s="1754"/>
      <c r="K46" s="78"/>
      <c r="L46" s="1379"/>
      <c r="M46" s="78"/>
      <c r="N46" s="78"/>
      <c r="O46" s="78"/>
      <c r="P46" s="78"/>
      <c r="Q46" s="57"/>
      <c r="R46" s="57"/>
      <c r="S46" s="57"/>
      <c r="T46" s="57"/>
      <c r="U46" s="57"/>
      <c r="V46" s="57"/>
      <c r="W46" s="57"/>
      <c r="X46" s="57"/>
      <c r="Y46" s="57"/>
      <c r="Z46" s="57"/>
      <c r="AA46" s="57"/>
      <c r="AB46" s="57"/>
      <c r="AC46" s="57"/>
      <c r="AD46" s="57"/>
    </row>
    <row r="47" spans="1:30" ht="13.5" customHeight="1" x14ac:dyDescent="0.25">
      <c r="A47" s="78"/>
      <c r="B47" s="1765"/>
      <c r="C47" s="1841"/>
      <c r="D47" s="477"/>
      <c r="E47" s="477"/>
      <c r="F47" s="1362"/>
      <c r="G47" s="1362"/>
      <c r="H47" s="505"/>
      <c r="I47" s="2107"/>
      <c r="J47" s="1754"/>
      <c r="K47" s="78"/>
      <c r="L47" s="1379"/>
      <c r="M47" s="78"/>
      <c r="N47" s="78"/>
      <c r="O47" s="78"/>
      <c r="P47" s="78"/>
      <c r="Q47" s="57"/>
      <c r="R47" s="57"/>
      <c r="S47" s="57"/>
      <c r="T47" s="57"/>
      <c r="U47" s="57"/>
      <c r="V47" s="57"/>
      <c r="W47" s="57"/>
      <c r="X47" s="57"/>
      <c r="Y47" s="57"/>
      <c r="Z47" s="57"/>
      <c r="AA47" s="57"/>
      <c r="AB47" s="57"/>
      <c r="AC47" s="57"/>
      <c r="AD47" s="57"/>
    </row>
    <row r="48" spans="1:30" x14ac:dyDescent="0.25">
      <c r="A48" s="78"/>
      <c r="B48" s="1765"/>
      <c r="C48" s="1844"/>
      <c r="D48" s="505"/>
      <c r="E48" s="505"/>
      <c r="F48" s="2046" t="s">
        <v>8</v>
      </c>
      <c r="G48" s="2046" t="s">
        <v>8</v>
      </c>
      <c r="H48" s="526" t="str">
        <f>H27</f>
        <v>Estimated</v>
      </c>
      <c r="I48" s="2108" t="s">
        <v>313</v>
      </c>
      <c r="J48" s="1754"/>
      <c r="K48" s="78"/>
      <c r="L48" s="57"/>
      <c r="M48" s="57"/>
      <c r="N48" s="57"/>
      <c r="O48" s="57"/>
      <c r="P48" s="57"/>
      <c r="Q48" s="57"/>
      <c r="R48" s="57"/>
      <c r="S48" s="57"/>
      <c r="T48" s="57"/>
      <c r="U48" s="57"/>
      <c r="V48" s="57"/>
      <c r="W48" s="57"/>
      <c r="X48" s="57"/>
      <c r="Y48" s="57"/>
      <c r="Z48" s="57"/>
      <c r="AA48" s="57"/>
      <c r="AB48" s="57"/>
      <c r="AC48" s="57"/>
      <c r="AD48" s="57"/>
    </row>
    <row r="49" spans="1:30" x14ac:dyDescent="0.25">
      <c r="A49" s="78"/>
      <c r="B49" s="1765"/>
      <c r="C49" s="1841"/>
      <c r="D49" s="477"/>
      <c r="E49" s="477" t="s">
        <v>398</v>
      </c>
      <c r="F49" s="652">
        <f>F28</f>
        <v>2020</v>
      </c>
      <c r="G49" s="652">
        <f>G28</f>
        <v>2021</v>
      </c>
      <c r="H49" s="535">
        <f>H28</f>
        <v>2022</v>
      </c>
      <c r="I49" s="2108">
        <f>I28</f>
        <v>2023</v>
      </c>
      <c r="J49" s="1754"/>
      <c r="K49" s="78"/>
      <c r="L49" s="57"/>
      <c r="M49" s="57"/>
      <c r="N49" s="57"/>
      <c r="O49" s="57"/>
      <c r="P49" s="57"/>
      <c r="Q49" s="57"/>
      <c r="R49" s="57"/>
      <c r="S49" s="57"/>
      <c r="T49" s="57"/>
      <c r="U49" s="57"/>
      <c r="V49" s="57"/>
      <c r="W49" s="57"/>
      <c r="X49" s="57"/>
      <c r="Y49" s="57"/>
      <c r="Z49" s="57"/>
      <c r="AA49" s="57"/>
      <c r="AB49" s="57"/>
      <c r="AC49" s="57"/>
      <c r="AD49" s="57"/>
    </row>
    <row r="50" spans="1:30" x14ac:dyDescent="0.25">
      <c r="A50" s="78"/>
      <c r="B50" s="1765"/>
      <c r="C50" s="1845" t="s">
        <v>399</v>
      </c>
      <c r="D50" s="477"/>
      <c r="E50" s="536" t="s">
        <v>400</v>
      </c>
      <c r="F50" s="978" t="s">
        <v>172</v>
      </c>
      <c r="G50" s="978" t="s">
        <v>172</v>
      </c>
      <c r="H50" s="536" t="s">
        <v>172</v>
      </c>
      <c r="I50" s="2099" t="s">
        <v>172</v>
      </c>
      <c r="J50" s="1754"/>
      <c r="K50" s="78"/>
      <c r="L50" s="57"/>
      <c r="M50" s="57"/>
      <c r="N50" s="57"/>
      <c r="O50" s="57"/>
      <c r="P50" s="57"/>
      <c r="Q50" s="57"/>
      <c r="R50" s="57"/>
      <c r="S50" s="57"/>
      <c r="T50" s="57"/>
      <c r="U50" s="57"/>
      <c r="V50" s="57"/>
      <c r="W50" s="57"/>
      <c r="X50" s="57"/>
      <c r="Y50" s="57"/>
      <c r="Z50" s="57"/>
      <c r="AA50" s="57"/>
      <c r="AB50" s="57"/>
      <c r="AC50" s="57"/>
      <c r="AD50" s="57"/>
    </row>
    <row r="51" spans="1:30" x14ac:dyDescent="0.25">
      <c r="A51" s="78"/>
      <c r="B51" s="1765"/>
      <c r="C51" s="1841" t="s">
        <v>401</v>
      </c>
      <c r="D51" s="477"/>
      <c r="E51" s="526" t="s">
        <v>402</v>
      </c>
      <c r="F51" s="1153">
        <v>0</v>
      </c>
      <c r="G51" s="1153">
        <v>0</v>
      </c>
      <c r="H51" s="1154">
        <f>IFERROR(IF(Data!B$98=0,VLOOKUP($H$28,Data!$O$98:$AB$110,7,FALSE),Data!B$98),0)</f>
        <v>0</v>
      </c>
      <c r="I51" s="1155">
        <v>0</v>
      </c>
      <c r="J51" s="1754"/>
      <c r="K51" s="78"/>
      <c r="L51" s="57"/>
      <c r="M51" s="57"/>
      <c r="N51" s="57"/>
      <c r="O51" s="57"/>
      <c r="P51" s="57"/>
      <c r="Q51" s="57"/>
      <c r="R51" s="57"/>
      <c r="S51" s="57"/>
      <c r="T51" s="57"/>
      <c r="U51" s="57"/>
      <c r="V51" s="57"/>
      <c r="W51" s="57"/>
      <c r="X51" s="57"/>
      <c r="Y51" s="57"/>
      <c r="Z51" s="57"/>
      <c r="AA51" s="57"/>
      <c r="AB51" s="57"/>
      <c r="AC51" s="57"/>
      <c r="AD51" s="57"/>
    </row>
    <row r="52" spans="1:30" x14ac:dyDescent="0.25">
      <c r="A52" s="78"/>
      <c r="B52" s="1765"/>
      <c r="C52" s="1841" t="s">
        <v>403</v>
      </c>
      <c r="D52" s="477"/>
      <c r="E52" s="526" t="s">
        <v>404</v>
      </c>
      <c r="F52" s="1153">
        <f>IF(Data!C100=0,VLOOKUP(F28,Data!$O$98:$AB$110,8,TRUE),Data!C100)</f>
        <v>5.9936829999999999</v>
      </c>
      <c r="G52" s="1153">
        <f>IF(Data!C$99=0,VLOOKUP($G$28,Data!$O$98:$AB$110,8,TRUE),Data!C$99)</f>
        <v>5.0997830000000004</v>
      </c>
      <c r="H52" s="1154">
        <v>5.2911469999999996</v>
      </c>
      <c r="I52" s="1155">
        <f>ROUND(+H52*1.03,6)</f>
        <v>5.4498810000000004</v>
      </c>
      <c r="J52" s="1754"/>
      <c r="K52" s="78"/>
      <c r="L52" s="57"/>
      <c r="M52" s="57"/>
      <c r="N52" s="57"/>
      <c r="O52" s="57"/>
      <c r="P52" s="57"/>
      <c r="Q52" s="57"/>
      <c r="R52" s="57"/>
      <c r="S52" s="57"/>
      <c r="T52" s="57"/>
      <c r="U52" s="57"/>
      <c r="V52" s="57"/>
      <c r="W52" s="57"/>
      <c r="X52" s="57"/>
      <c r="Y52" s="57"/>
      <c r="Z52" s="57"/>
      <c r="AA52" s="57"/>
      <c r="AB52" s="57"/>
      <c r="AC52" s="57"/>
      <c r="AD52" s="57"/>
    </row>
    <row r="53" spans="1:30" x14ac:dyDescent="0.25">
      <c r="A53" s="78"/>
      <c r="B53" s="1765"/>
      <c r="C53" s="1841" t="s">
        <v>405</v>
      </c>
      <c r="D53" s="477"/>
      <c r="E53" s="526" t="s">
        <v>406</v>
      </c>
      <c r="F53" s="1153">
        <f>IF(Data!D100=0,VLOOKUP(F28,Data!$O$98:$AB$110,9,TRUE),Data!D100)</f>
        <v>7.0734620000000001</v>
      </c>
      <c r="G53" s="1153">
        <f>IF(Data!D$99=0,VLOOKUP($G$28,Data!$O$98:$AB$110,9,TRUE),Data!D$99)</f>
        <v>6.3007049999999998</v>
      </c>
      <c r="H53" s="1154">
        <v>6.3081110000000002</v>
      </c>
      <c r="I53" s="1155">
        <f>ROUND(+H53*1.03,6)</f>
        <v>6.4973539999999996</v>
      </c>
      <c r="J53" s="1754"/>
      <c r="K53" s="78"/>
      <c r="L53" s="57"/>
      <c r="M53" s="57"/>
      <c r="N53" s="57"/>
      <c r="O53" s="57"/>
      <c r="P53" s="57"/>
      <c r="Q53" s="57"/>
      <c r="R53" s="57"/>
      <c r="S53" s="57"/>
      <c r="T53" s="57"/>
      <c r="U53" s="57"/>
      <c r="V53" s="57"/>
      <c r="W53" s="57"/>
      <c r="X53" s="57"/>
      <c r="Y53" s="57"/>
      <c r="Z53" s="57"/>
      <c r="AA53" s="57"/>
      <c r="AB53" s="57"/>
      <c r="AC53" s="57"/>
      <c r="AD53" s="57"/>
    </row>
    <row r="54" spans="1:30" x14ac:dyDescent="0.25">
      <c r="A54" s="78"/>
      <c r="B54" s="1765"/>
      <c r="C54" s="1841" t="s">
        <v>407</v>
      </c>
      <c r="D54" s="477"/>
      <c r="E54" s="526" t="s">
        <v>408</v>
      </c>
      <c r="F54" s="1153">
        <f>IF(Data!E100=0,VLOOKUP(F28,Data!$O$98:$AB$110,10,TRUE),Data!E100)</f>
        <v>9.6113890000000008</v>
      </c>
      <c r="G54" s="1153">
        <f>IF(Data!E$99=0,VLOOKUP($G$28,Data!$O$98:$AB$110,10,TRUE),Data!E$99)</f>
        <v>7.9605040000000002</v>
      </c>
      <c r="H54" s="1154">
        <v>7.6304619999999996</v>
      </c>
      <c r="I54" s="1155">
        <f>ROUND(+H54*1.03,6)</f>
        <v>7.8593760000000001</v>
      </c>
      <c r="J54" s="1754"/>
      <c r="K54" s="78"/>
      <c r="L54" s="57"/>
      <c r="M54" s="57"/>
      <c r="N54" s="57"/>
      <c r="O54" s="57"/>
      <c r="P54" s="57"/>
      <c r="Q54" s="57"/>
      <c r="R54" s="57"/>
      <c r="S54" s="57"/>
      <c r="T54" s="57"/>
      <c r="U54" s="57"/>
      <c r="V54" s="57"/>
      <c r="W54" s="57"/>
      <c r="X54" s="57"/>
      <c r="Y54" s="57"/>
      <c r="Z54" s="57"/>
      <c r="AA54" s="57"/>
      <c r="AB54" s="57"/>
      <c r="AC54" s="57"/>
      <c r="AD54" s="57"/>
    </row>
    <row r="55" spans="1:30" x14ac:dyDescent="0.25">
      <c r="A55" s="78"/>
      <c r="B55" s="1765"/>
      <c r="C55" s="1841" t="s">
        <v>409</v>
      </c>
      <c r="D55" s="477"/>
      <c r="E55" s="526" t="s">
        <v>410</v>
      </c>
      <c r="F55" s="1153">
        <f>IF(Data!F100=0,VLOOKUP(F28,Data!$O$98:$AB$110,11,TRUE),Data!F100)</f>
        <v>0.85949299999999995</v>
      </c>
      <c r="G55" s="1153">
        <f>IF(Data!F$99=0,VLOOKUP($G$28,Data!$O$98:$AB$110,11,TRUE),Data!F$99)</f>
        <v>0.72887400000000002</v>
      </c>
      <c r="H55" s="1154">
        <v>0.74240300000000004</v>
      </c>
      <c r="I55" s="1155">
        <f>ROUND(+H55*1.03,6)</f>
        <v>0.76467499999999999</v>
      </c>
      <c r="J55" s="1754"/>
      <c r="K55" s="78"/>
      <c r="L55" s="57"/>
      <c r="M55" s="57"/>
      <c r="N55" s="57"/>
      <c r="O55" s="57"/>
      <c r="P55" s="57"/>
      <c r="Q55" s="57"/>
      <c r="R55" s="57"/>
      <c r="S55" s="57"/>
      <c r="T55" s="57"/>
      <c r="U55" s="57"/>
      <c r="V55" s="57"/>
      <c r="W55" s="57"/>
      <c r="X55" s="57"/>
      <c r="Y55" s="57"/>
      <c r="Z55" s="57"/>
      <c r="AA55" s="57"/>
      <c r="AB55" s="57"/>
      <c r="AC55" s="57"/>
      <c r="AD55" s="57"/>
    </row>
    <row r="56" spans="1:30" x14ac:dyDescent="0.25">
      <c r="A56" s="78"/>
      <c r="B56" s="1765"/>
      <c r="C56" s="1841" t="s">
        <v>411</v>
      </c>
      <c r="D56" s="477"/>
      <c r="E56" s="526" t="s">
        <v>412</v>
      </c>
      <c r="F56" s="1153">
        <v>0</v>
      </c>
      <c r="G56" s="1153">
        <v>0</v>
      </c>
      <c r="H56" s="1154">
        <f>IFERROR(IF(Data!B$98=0,VLOOKUP($H$28,Data!$O$98:$AB$110,12,FALSE),Data!G$98),0)</f>
        <v>0</v>
      </c>
      <c r="I56" s="1155">
        <v>0</v>
      </c>
      <c r="J56" s="1754"/>
      <c r="K56" s="78"/>
      <c r="L56" s="57"/>
      <c r="M56" s="57"/>
      <c r="N56" s="57"/>
      <c r="O56" s="57"/>
      <c r="P56" s="57"/>
      <c r="Q56" s="57"/>
      <c r="R56" s="57"/>
      <c r="S56" s="57"/>
      <c r="T56" s="57"/>
      <c r="U56" s="57"/>
      <c r="V56" s="57"/>
      <c r="W56" s="57"/>
      <c r="X56" s="57"/>
      <c r="Y56" s="57"/>
      <c r="Z56" s="57"/>
      <c r="AA56" s="57"/>
      <c r="AB56" s="57"/>
      <c r="AC56" s="57"/>
      <c r="AD56" s="57"/>
    </row>
    <row r="57" spans="1:30" x14ac:dyDescent="0.25">
      <c r="A57" s="78"/>
      <c r="B57" s="1765"/>
      <c r="C57" s="1841" t="s">
        <v>413</v>
      </c>
      <c r="D57" s="477"/>
      <c r="E57" s="526" t="s">
        <v>414</v>
      </c>
      <c r="F57" s="1153">
        <v>0</v>
      </c>
      <c r="G57" s="1153">
        <v>0</v>
      </c>
      <c r="H57" s="1154">
        <f>IFERROR(IF(Data!B$98=0,VLOOKUP($H$28,Data!$O$98:$AB$110,13,FALSE),Data!H$98),0)</f>
        <v>0</v>
      </c>
      <c r="I57" s="1155">
        <v>0</v>
      </c>
      <c r="J57" s="1754"/>
      <c r="K57" s="78"/>
      <c r="L57" s="57"/>
      <c r="M57" s="57"/>
      <c r="N57" s="57"/>
      <c r="O57" s="57"/>
      <c r="P57" s="57"/>
      <c r="Q57" s="57"/>
      <c r="R57" s="57"/>
      <c r="S57" s="57"/>
      <c r="T57" s="57"/>
      <c r="U57" s="57"/>
      <c r="V57" s="57"/>
      <c r="W57" s="57"/>
      <c r="X57" s="57"/>
      <c r="Y57" s="57"/>
      <c r="Z57" s="57"/>
      <c r="AA57" s="57"/>
      <c r="AB57" s="57"/>
      <c r="AC57" s="57"/>
      <c r="AD57" s="57"/>
    </row>
    <row r="58" spans="1:30" x14ac:dyDescent="0.25">
      <c r="A58" s="78"/>
      <c r="B58" s="1765"/>
      <c r="C58" s="1841" t="s">
        <v>415</v>
      </c>
      <c r="D58" s="477"/>
      <c r="E58" s="526" t="s">
        <v>416</v>
      </c>
      <c r="F58" s="1153">
        <f>SUM(F51:F57)</f>
        <v>23.538027</v>
      </c>
      <c r="G58" s="1153">
        <f>SUM(G51:G57)</f>
        <v>20.089866000000001</v>
      </c>
      <c r="H58" s="1153">
        <f>SUM(H51:H57)</f>
        <v>19.972123</v>
      </c>
      <c r="I58" s="2105">
        <f>SUM(I51:I57)</f>
        <v>20.571286000000001</v>
      </c>
      <c r="J58" s="1754"/>
      <c r="K58" s="78"/>
      <c r="L58" s="57"/>
      <c r="M58" s="57"/>
      <c r="N58" s="57"/>
      <c r="O58" s="57"/>
      <c r="P58" s="57"/>
      <c r="Q58" s="57"/>
      <c r="R58" s="57"/>
      <c r="S58" s="57"/>
      <c r="T58" s="57"/>
      <c r="U58" s="57"/>
      <c r="V58" s="57"/>
      <c r="W58" s="57"/>
      <c r="X58" s="57"/>
      <c r="Y58" s="57"/>
      <c r="Z58" s="57"/>
      <c r="AA58" s="57"/>
      <c r="AB58" s="57"/>
      <c r="AC58" s="57"/>
      <c r="AD58" s="57"/>
    </row>
    <row r="59" spans="1:30" x14ac:dyDescent="0.25">
      <c r="A59" s="78"/>
      <c r="B59" s="1765"/>
      <c r="C59" s="1841" t="s">
        <v>872</v>
      </c>
      <c r="D59" s="477"/>
      <c r="E59" s="526" t="s">
        <v>417</v>
      </c>
      <c r="F59" s="1153">
        <f>IF(Data!I100=0,VLOOKUP(F28,Data!$O$98:$AB$110,14,TRUE),Data!I100)</f>
        <v>1.7239610000000001</v>
      </c>
      <c r="G59" s="1153">
        <f>IF(Data!I99=0,VLOOKUP(G28,Data!$O$98:$AB$110,14,TRUE),Data!I99)</f>
        <v>1.5310889999999999</v>
      </c>
      <c r="H59" s="1154">
        <v>1.491166</v>
      </c>
      <c r="I59" s="1155">
        <f>ROUND(+H59*1.03,6)</f>
        <v>1.535901</v>
      </c>
      <c r="J59" s="1754"/>
      <c r="K59" s="78"/>
      <c r="L59" s="57"/>
      <c r="M59" s="57"/>
      <c r="N59" s="57"/>
      <c r="O59" s="57"/>
      <c r="P59" s="57"/>
      <c r="Q59" s="57"/>
      <c r="R59" s="57"/>
      <c r="S59" s="57"/>
      <c r="T59" s="57"/>
      <c r="U59" s="57"/>
      <c r="V59" s="57"/>
      <c r="W59" s="57"/>
      <c r="X59" s="57"/>
      <c r="Y59" s="57"/>
      <c r="Z59" s="57"/>
      <c r="AA59" s="57"/>
      <c r="AB59" s="57"/>
      <c r="AC59" s="57"/>
      <c r="AD59" s="57"/>
    </row>
    <row r="60" spans="1:30" x14ac:dyDescent="0.25">
      <c r="A60" s="78"/>
      <c r="B60" s="1765"/>
      <c r="C60" s="1841" t="s">
        <v>418</v>
      </c>
      <c r="D60" s="477"/>
      <c r="E60" s="526" t="s">
        <v>419</v>
      </c>
      <c r="F60" s="1153">
        <f>F58-F59</f>
        <v>21.814066</v>
      </c>
      <c r="G60" s="1153">
        <f>G58-G59</f>
        <v>18.558776999999999</v>
      </c>
      <c r="H60" s="1153">
        <f>H58-H59</f>
        <v>18.480957</v>
      </c>
      <c r="I60" s="2105">
        <f>I58-I59</f>
        <v>19.035385000000002</v>
      </c>
      <c r="J60" s="1754"/>
      <c r="K60" s="78"/>
      <c r="L60" s="57"/>
      <c r="M60" s="57"/>
      <c r="N60" s="57"/>
      <c r="O60" s="57"/>
      <c r="P60" s="57"/>
      <c r="Q60" s="57"/>
      <c r="R60" s="57"/>
      <c r="S60" s="57"/>
      <c r="T60" s="57"/>
      <c r="U60" s="57"/>
      <c r="V60" s="57"/>
      <c r="W60" s="57"/>
      <c r="X60" s="57"/>
      <c r="Y60" s="57"/>
      <c r="Z60" s="57"/>
      <c r="AA60" s="57"/>
      <c r="AB60" s="57"/>
      <c r="AC60" s="57"/>
      <c r="AD60" s="57"/>
    </row>
    <row r="61" spans="1:30" ht="7.5" customHeight="1" x14ac:dyDescent="0.25">
      <c r="A61" s="78"/>
      <c r="B61" s="1765"/>
      <c r="C61" s="1841"/>
      <c r="D61" s="477"/>
      <c r="E61" s="477"/>
      <c r="F61" s="519"/>
      <c r="G61" s="519"/>
      <c r="H61" s="1362"/>
      <c r="I61" s="2107"/>
      <c r="J61" s="1754"/>
      <c r="K61" s="78"/>
      <c r="L61" s="57"/>
      <c r="M61" s="57"/>
      <c r="N61" s="57"/>
      <c r="O61" s="57"/>
      <c r="P61" s="57"/>
      <c r="Q61" s="57"/>
      <c r="R61" s="57"/>
      <c r="S61" s="57"/>
      <c r="T61" s="57"/>
      <c r="U61" s="57"/>
      <c r="V61" s="57"/>
      <c r="W61" s="57"/>
      <c r="X61" s="57"/>
      <c r="Y61" s="57"/>
      <c r="Z61" s="57"/>
      <c r="AA61" s="57"/>
      <c r="AB61" s="57"/>
      <c r="AC61" s="57"/>
      <c r="AD61" s="57"/>
    </row>
    <row r="62" spans="1:30" x14ac:dyDescent="0.25">
      <c r="A62" s="78"/>
      <c r="B62" s="1765"/>
      <c r="C62" s="1841"/>
      <c r="D62" s="477"/>
      <c r="E62" s="477"/>
      <c r="F62" s="978" t="s">
        <v>134</v>
      </c>
      <c r="G62" s="978" t="s">
        <v>134</v>
      </c>
      <c r="H62" s="978" t="s">
        <v>134</v>
      </c>
      <c r="I62" s="2099" t="s">
        <v>134</v>
      </c>
      <c r="J62" s="1754"/>
      <c r="K62" s="78"/>
      <c r="L62" s="57"/>
      <c r="M62" s="57"/>
      <c r="N62" s="57"/>
      <c r="O62" s="57"/>
      <c r="P62" s="57"/>
      <c r="Q62" s="57"/>
      <c r="R62" s="57"/>
      <c r="S62" s="57"/>
      <c r="T62" s="57"/>
      <c r="U62" s="57"/>
      <c r="V62" s="57"/>
      <c r="W62" s="57"/>
      <c r="X62" s="57"/>
      <c r="Y62" s="57"/>
      <c r="Z62" s="57"/>
      <c r="AA62" s="57"/>
      <c r="AB62" s="57"/>
      <c r="AC62" s="57"/>
      <c r="AD62" s="57"/>
    </row>
    <row r="63" spans="1:30" x14ac:dyDescent="0.25">
      <c r="A63" s="78"/>
      <c r="B63" s="1765"/>
      <c r="C63" s="1841" t="s">
        <v>420</v>
      </c>
      <c r="D63" s="477"/>
      <c r="E63" s="526" t="s">
        <v>421</v>
      </c>
      <c r="F63" s="1153">
        <f t="shared" ref="F63:I66" si="0">F53</f>
        <v>7.0734620000000001</v>
      </c>
      <c r="G63" s="1153">
        <f t="shared" si="0"/>
        <v>6.3007049999999998</v>
      </c>
      <c r="H63" s="1153">
        <f t="shared" si="0"/>
        <v>6.3081110000000002</v>
      </c>
      <c r="I63" s="2105">
        <f t="shared" si="0"/>
        <v>6.4973539999999996</v>
      </c>
      <c r="J63" s="1754"/>
      <c r="K63" s="78"/>
      <c r="L63" s="57"/>
      <c r="M63" s="57"/>
      <c r="N63" s="57"/>
      <c r="O63" s="57"/>
      <c r="P63" s="57"/>
      <c r="Q63" s="57"/>
      <c r="R63" s="57"/>
      <c r="S63" s="57"/>
      <c r="T63" s="57"/>
      <c r="U63" s="57"/>
      <c r="V63" s="57"/>
      <c r="W63" s="57"/>
      <c r="X63" s="57"/>
      <c r="Y63" s="57"/>
      <c r="Z63" s="57"/>
      <c r="AA63" s="57"/>
      <c r="AB63" s="57"/>
      <c r="AC63" s="57"/>
      <c r="AD63" s="57"/>
    </row>
    <row r="64" spans="1:30" x14ac:dyDescent="0.25">
      <c r="A64" s="78"/>
      <c r="B64" s="1765"/>
      <c r="C64" s="1841" t="s">
        <v>422</v>
      </c>
      <c r="D64" s="477"/>
      <c r="E64" s="526" t="s">
        <v>423</v>
      </c>
      <c r="F64" s="1153">
        <f t="shared" si="0"/>
        <v>9.6113890000000008</v>
      </c>
      <c r="G64" s="1153">
        <f t="shared" si="0"/>
        <v>7.9605040000000002</v>
      </c>
      <c r="H64" s="1153">
        <f t="shared" si="0"/>
        <v>7.6304619999999996</v>
      </c>
      <c r="I64" s="2105">
        <f t="shared" si="0"/>
        <v>7.8593760000000001</v>
      </c>
      <c r="J64" s="1754"/>
      <c r="K64" s="78"/>
      <c r="L64" s="57"/>
      <c r="M64" s="57"/>
      <c r="N64" s="57"/>
      <c r="O64" s="57"/>
      <c r="P64" s="57"/>
      <c r="Q64" s="57"/>
      <c r="R64" s="57"/>
      <c r="S64" s="57"/>
      <c r="T64" s="57"/>
      <c r="U64" s="57"/>
      <c r="V64" s="57"/>
      <c r="W64" s="57"/>
      <c r="X64" s="57"/>
      <c r="Y64" s="57"/>
      <c r="Z64" s="57"/>
      <c r="AA64" s="57"/>
      <c r="AB64" s="57"/>
      <c r="AC64" s="57"/>
      <c r="AD64" s="57"/>
    </row>
    <row r="65" spans="1:14" x14ac:dyDescent="0.25">
      <c r="A65" s="78"/>
      <c r="B65" s="1765"/>
      <c r="C65" s="1841" t="s">
        <v>424</v>
      </c>
      <c r="D65" s="477"/>
      <c r="E65" s="526" t="s">
        <v>425</v>
      </c>
      <c r="F65" s="1153">
        <f t="shared" si="0"/>
        <v>0.85949299999999995</v>
      </c>
      <c r="G65" s="1153">
        <f t="shared" si="0"/>
        <v>0.72887400000000002</v>
      </c>
      <c r="H65" s="1153">
        <f t="shared" si="0"/>
        <v>0.74240300000000004</v>
      </c>
      <c r="I65" s="2105">
        <f t="shared" si="0"/>
        <v>0.76467499999999999</v>
      </c>
      <c r="J65" s="1754"/>
      <c r="K65" s="78"/>
    </row>
    <row r="66" spans="1:14" x14ac:dyDescent="0.25">
      <c r="A66" s="78"/>
      <c r="B66" s="1765"/>
      <c r="C66" s="1841" t="s">
        <v>426</v>
      </c>
      <c r="D66" s="477"/>
      <c r="E66" s="526" t="s">
        <v>427</v>
      </c>
      <c r="F66" s="1153">
        <f t="shared" si="0"/>
        <v>0</v>
      </c>
      <c r="G66" s="1153">
        <f t="shared" si="0"/>
        <v>0</v>
      </c>
      <c r="H66" s="1153">
        <f t="shared" si="0"/>
        <v>0</v>
      </c>
      <c r="I66" s="2105">
        <f t="shared" si="0"/>
        <v>0</v>
      </c>
      <c r="J66" s="1754"/>
      <c r="K66" s="78"/>
    </row>
    <row r="67" spans="1:14" x14ac:dyDescent="0.25">
      <c r="A67" s="78"/>
      <c r="B67" s="1765"/>
      <c r="C67" s="1841" t="s">
        <v>428</v>
      </c>
      <c r="D67" s="477"/>
      <c r="E67" s="526" t="s">
        <v>429</v>
      </c>
      <c r="F67" s="1153">
        <f>SUM(F63:F66)</f>
        <v>17.544344000000002</v>
      </c>
      <c r="G67" s="1153">
        <f>SUM(G63:G66)</f>
        <v>14.990083</v>
      </c>
      <c r="H67" s="1153">
        <f>SUM(H63:H66)</f>
        <v>14.680975999999999</v>
      </c>
      <c r="I67" s="2105">
        <f>SUM(I63:I66)</f>
        <v>15.121404999999999</v>
      </c>
      <c r="J67" s="1754"/>
      <c r="K67" s="78"/>
    </row>
    <row r="68" spans="1:14" x14ac:dyDescent="0.25">
      <c r="A68" s="78"/>
      <c r="B68" s="1765"/>
      <c r="C68" s="1841" t="s">
        <v>430</v>
      </c>
      <c r="D68" s="477"/>
      <c r="E68" s="526" t="s">
        <v>431</v>
      </c>
      <c r="F68" s="1153">
        <f>F58</f>
        <v>23.538027</v>
      </c>
      <c r="G68" s="1153">
        <f>G58</f>
        <v>20.089866000000001</v>
      </c>
      <c r="H68" s="1153">
        <f>H58</f>
        <v>19.972123</v>
      </c>
      <c r="I68" s="2105">
        <f>I58</f>
        <v>20.571286000000001</v>
      </c>
      <c r="J68" s="1754"/>
      <c r="K68" s="78"/>
    </row>
    <row r="69" spans="1:14" x14ac:dyDescent="0.25">
      <c r="A69" s="78"/>
      <c r="B69" s="1765"/>
      <c r="C69" s="1841" t="s">
        <v>432</v>
      </c>
      <c r="D69" s="477"/>
      <c r="E69" s="477"/>
      <c r="F69" s="1362"/>
      <c r="G69" s="1362"/>
      <c r="H69" s="1362"/>
      <c r="I69" s="2109"/>
      <c r="J69" s="1754"/>
      <c r="K69" s="78"/>
    </row>
    <row r="70" spans="1:14" x14ac:dyDescent="0.25">
      <c r="A70" s="78"/>
      <c r="B70" s="1765"/>
      <c r="C70" s="1841" t="s">
        <v>433</v>
      </c>
      <c r="D70" s="477"/>
      <c r="E70" s="526" t="s">
        <v>434</v>
      </c>
      <c r="F70" s="1156">
        <f>IF(F68=0,0,F67/F68)</f>
        <v>0.74536170767413945</v>
      </c>
      <c r="G70" s="1156">
        <f>IF(G68=0,0,G67/G68)</f>
        <v>0.74615146761058537</v>
      </c>
      <c r="H70" s="1156">
        <f>IF(H68=0,0,H67/H68)</f>
        <v>0.73507338203354744</v>
      </c>
      <c r="I70" s="2110">
        <f>IF(I68=0,0,I67/I68)</f>
        <v>0.73507339307809916</v>
      </c>
      <c r="J70" s="1754"/>
      <c r="K70" s="78"/>
    </row>
    <row r="71" spans="1:14" x14ac:dyDescent="0.25">
      <c r="A71" s="78"/>
      <c r="B71" s="1765"/>
      <c r="C71" s="1841" t="s">
        <v>435</v>
      </c>
      <c r="D71" s="477"/>
      <c r="E71" s="526" t="s">
        <v>436</v>
      </c>
      <c r="F71" s="1153">
        <f>F60</f>
        <v>21.814066</v>
      </c>
      <c r="G71" s="1153">
        <f>G60</f>
        <v>18.558776999999999</v>
      </c>
      <c r="H71" s="1153">
        <f>H60</f>
        <v>18.480957</v>
      </c>
      <c r="I71" s="2105">
        <f>I60</f>
        <v>19.035385000000002</v>
      </c>
      <c r="J71" s="1754"/>
      <c r="K71" s="78"/>
      <c r="N71" s="53"/>
    </row>
    <row r="72" spans="1:14" x14ac:dyDescent="0.25">
      <c r="A72" s="78"/>
      <c r="B72" s="1765"/>
      <c r="C72" s="2111" t="s">
        <v>437</v>
      </c>
      <c r="D72" s="783"/>
      <c r="E72" s="2112" t="s">
        <v>438</v>
      </c>
      <c r="F72" s="2113">
        <f>F70*F71</f>
        <v>16.259369485076384</v>
      </c>
      <c r="G72" s="2113">
        <f>G70*G71</f>
        <v>13.847658695607576</v>
      </c>
      <c r="H72" s="2113">
        <f>H70*H71</f>
        <v>13.584859565206562</v>
      </c>
      <c r="I72" s="2114">
        <f>I70*I71</f>
        <v>13.992405040497953</v>
      </c>
      <c r="J72" s="1754"/>
      <c r="K72" s="78"/>
      <c r="N72" s="53"/>
    </row>
    <row r="73" spans="1:14" x14ac:dyDescent="0.25">
      <c r="A73" s="78"/>
      <c r="B73" s="1765"/>
      <c r="C73" s="477"/>
      <c r="D73" s="477"/>
      <c r="E73" s="477"/>
      <c r="F73" s="477"/>
      <c r="G73" s="477"/>
      <c r="H73" s="477"/>
      <c r="I73" s="477"/>
      <c r="J73" s="1754"/>
      <c r="K73" s="78"/>
      <c r="N73" s="53"/>
    </row>
    <row r="74" spans="1:14" ht="15" customHeight="1" x14ac:dyDescent="0.25">
      <c r="A74" s="78"/>
      <c r="B74" s="1765"/>
      <c r="C74" s="2360" t="s">
        <v>1232</v>
      </c>
      <c r="D74" s="2360"/>
      <c r="E74" s="2360"/>
      <c r="F74" s="2360"/>
      <c r="G74" s="2360"/>
      <c r="H74" s="2360"/>
      <c r="I74" s="2360"/>
      <c r="J74" s="1846"/>
      <c r="K74" s="78"/>
      <c r="N74" s="53"/>
    </row>
    <row r="75" spans="1:14" x14ac:dyDescent="0.25">
      <c r="A75" s="78"/>
      <c r="B75" s="1765"/>
      <c r="C75" s="2500"/>
      <c r="D75" s="2500"/>
      <c r="E75" s="2500"/>
      <c r="F75" s="2500"/>
      <c r="G75" s="2500"/>
      <c r="H75" s="2500"/>
      <c r="I75" s="2500"/>
      <c r="J75" s="1846"/>
      <c r="K75" s="78"/>
      <c r="N75" s="53"/>
    </row>
    <row r="76" spans="1:14" x14ac:dyDescent="0.25">
      <c r="A76" s="78"/>
      <c r="B76" s="1765"/>
      <c r="C76" s="2491" t="s">
        <v>1521</v>
      </c>
      <c r="D76" s="2492"/>
      <c r="E76" s="2492"/>
      <c r="F76" s="2492"/>
      <c r="G76" s="2492"/>
      <c r="H76" s="2492"/>
      <c r="I76" s="2493"/>
      <c r="J76" s="1754"/>
      <c r="K76" s="78"/>
      <c r="N76" s="53"/>
    </row>
    <row r="77" spans="1:14" x14ac:dyDescent="0.25">
      <c r="A77" s="78"/>
      <c r="B77" s="1765"/>
      <c r="C77" s="2494"/>
      <c r="D77" s="2495"/>
      <c r="E77" s="2495"/>
      <c r="F77" s="2495"/>
      <c r="G77" s="2495"/>
      <c r="H77" s="2495"/>
      <c r="I77" s="2496"/>
      <c r="J77" s="1754"/>
      <c r="K77" s="78"/>
      <c r="N77" s="53"/>
    </row>
    <row r="78" spans="1:14" x14ac:dyDescent="0.25">
      <c r="A78" s="78"/>
      <c r="B78" s="1765"/>
      <c r="C78" s="2494"/>
      <c r="D78" s="2495"/>
      <c r="E78" s="2495"/>
      <c r="F78" s="2495"/>
      <c r="G78" s="2495"/>
      <c r="H78" s="2495"/>
      <c r="I78" s="2496"/>
      <c r="J78" s="1754"/>
      <c r="K78" s="78"/>
      <c r="N78" s="53"/>
    </row>
    <row r="79" spans="1:14" x14ac:dyDescent="0.25">
      <c r="A79" s="78"/>
      <c r="B79" s="1765"/>
      <c r="C79" s="2494"/>
      <c r="D79" s="2495"/>
      <c r="E79" s="2495"/>
      <c r="F79" s="2495"/>
      <c r="G79" s="2495"/>
      <c r="H79" s="2495"/>
      <c r="I79" s="2496"/>
      <c r="J79" s="1754"/>
      <c r="K79" s="78"/>
      <c r="N79" s="53"/>
    </row>
    <row r="80" spans="1:14" x14ac:dyDescent="0.25">
      <c r="A80" s="78"/>
      <c r="B80" s="1765"/>
      <c r="C80" s="2494"/>
      <c r="D80" s="2495"/>
      <c r="E80" s="2495"/>
      <c r="F80" s="2495"/>
      <c r="G80" s="2495"/>
      <c r="H80" s="2495"/>
      <c r="I80" s="2496"/>
      <c r="J80" s="1754"/>
      <c r="K80" s="78"/>
      <c r="N80" s="53"/>
    </row>
    <row r="81" spans="1:16" x14ac:dyDescent="0.25">
      <c r="A81" s="78"/>
      <c r="B81" s="1765"/>
      <c r="C81" s="2494"/>
      <c r="D81" s="2495"/>
      <c r="E81" s="2495"/>
      <c r="F81" s="2495"/>
      <c r="G81" s="2495"/>
      <c r="H81" s="2495"/>
      <c r="I81" s="2496"/>
      <c r="J81" s="1754"/>
      <c r="K81" s="78"/>
      <c r="N81" s="53"/>
    </row>
    <row r="82" spans="1:16" x14ac:dyDescent="0.25">
      <c r="A82" s="78"/>
      <c r="B82" s="1765"/>
      <c r="C82" s="2494"/>
      <c r="D82" s="2495"/>
      <c r="E82" s="2495"/>
      <c r="F82" s="2495"/>
      <c r="G82" s="2495"/>
      <c r="H82" s="2495"/>
      <c r="I82" s="2496"/>
      <c r="J82" s="1754"/>
      <c r="K82" s="78"/>
      <c r="N82" s="53"/>
    </row>
    <row r="83" spans="1:16" x14ac:dyDescent="0.25">
      <c r="A83" s="78"/>
      <c r="B83" s="1765"/>
      <c r="C83" s="2494"/>
      <c r="D83" s="2495"/>
      <c r="E83" s="2495"/>
      <c r="F83" s="2495"/>
      <c r="G83" s="2495"/>
      <c r="H83" s="2495"/>
      <c r="I83" s="2496"/>
      <c r="J83" s="1754"/>
      <c r="K83" s="78"/>
      <c r="N83" s="53"/>
    </row>
    <row r="84" spans="1:16" x14ac:dyDescent="0.25">
      <c r="A84" s="78"/>
      <c r="B84" s="1765"/>
      <c r="C84" s="2494"/>
      <c r="D84" s="2495"/>
      <c r="E84" s="2495"/>
      <c r="F84" s="2495"/>
      <c r="G84" s="2495"/>
      <c r="H84" s="2495"/>
      <c r="I84" s="2496"/>
      <c r="J84" s="1754"/>
      <c r="K84" s="78"/>
      <c r="N84" s="53"/>
    </row>
    <row r="85" spans="1:16" x14ac:dyDescent="0.25">
      <c r="A85" s="78"/>
      <c r="B85" s="1765"/>
      <c r="C85" s="2494"/>
      <c r="D85" s="2495"/>
      <c r="E85" s="2495"/>
      <c r="F85" s="2495"/>
      <c r="G85" s="2495"/>
      <c r="H85" s="2495"/>
      <c r="I85" s="2496"/>
      <c r="J85" s="1754"/>
      <c r="K85" s="78"/>
      <c r="N85" s="53"/>
    </row>
    <row r="86" spans="1:16" x14ac:dyDescent="0.25">
      <c r="A86" s="78"/>
      <c r="B86" s="1765"/>
      <c r="C86" s="2494"/>
      <c r="D86" s="2495"/>
      <c r="E86" s="2495"/>
      <c r="F86" s="2495"/>
      <c r="G86" s="2495"/>
      <c r="H86" s="2495"/>
      <c r="I86" s="2496"/>
      <c r="J86" s="1754"/>
      <c r="K86" s="78"/>
      <c r="N86" s="53"/>
    </row>
    <row r="87" spans="1:16" x14ac:dyDescent="0.25">
      <c r="A87" s="78"/>
      <c r="B87" s="1765"/>
      <c r="C87" s="2494"/>
      <c r="D87" s="2495"/>
      <c r="E87" s="2495"/>
      <c r="F87" s="2495"/>
      <c r="G87" s="2495"/>
      <c r="H87" s="2495"/>
      <c r="I87" s="2496"/>
      <c r="J87" s="1754"/>
      <c r="K87" s="78"/>
      <c r="N87" s="53"/>
    </row>
    <row r="88" spans="1:16" x14ac:dyDescent="0.25">
      <c r="A88" s="78"/>
      <c r="B88" s="1765"/>
      <c r="C88" s="2497"/>
      <c r="D88" s="2498"/>
      <c r="E88" s="2498"/>
      <c r="F88" s="2498"/>
      <c r="G88" s="2498"/>
      <c r="H88" s="2498"/>
      <c r="I88" s="2499"/>
      <c r="J88" s="1754"/>
      <c r="K88" s="78"/>
      <c r="N88" s="53"/>
      <c r="P88" s="53"/>
    </row>
    <row r="89" spans="1:16" x14ac:dyDescent="0.25">
      <c r="A89" s="78"/>
      <c r="B89" s="1765"/>
      <c r="C89" s="205"/>
      <c r="D89" s="205"/>
      <c r="E89" s="205"/>
      <c r="F89" s="205"/>
      <c r="G89" s="205"/>
      <c r="H89" s="205"/>
      <c r="I89" s="205"/>
      <c r="J89" s="1754"/>
      <c r="K89" s="78"/>
    </row>
    <row r="90" spans="1:16" x14ac:dyDescent="0.25">
      <c r="A90" s="78"/>
      <c r="B90" s="1768"/>
      <c r="C90" s="1279"/>
      <c r="D90" s="1279"/>
      <c r="E90" s="1279"/>
      <c r="F90" s="1279"/>
      <c r="G90" s="1279"/>
      <c r="H90" s="1279"/>
      <c r="I90" s="1279"/>
      <c r="J90" s="1769"/>
      <c r="K90" s="78"/>
    </row>
    <row r="91" spans="1:16" x14ac:dyDescent="0.25">
      <c r="A91" s="78"/>
      <c r="B91" s="78"/>
      <c r="C91" s="78"/>
      <c r="D91" s="78"/>
      <c r="E91" s="78"/>
      <c r="F91" s="78"/>
      <c r="G91" s="78"/>
      <c r="H91" s="78"/>
      <c r="I91" s="78"/>
      <c r="J91" s="78"/>
      <c r="K91" s="78"/>
    </row>
    <row r="92" spans="1:16" x14ac:dyDescent="0.25">
      <c r="A92" s="78"/>
      <c r="B92" s="78"/>
      <c r="C92" s="78"/>
      <c r="D92" s="78"/>
      <c r="E92" s="78"/>
      <c r="F92" s="78"/>
      <c r="G92" s="78"/>
      <c r="H92" s="78"/>
      <c r="I92" s="78"/>
      <c r="J92" s="78"/>
      <c r="K92" s="78"/>
    </row>
    <row r="93" spans="1:16" x14ac:dyDescent="0.25">
      <c r="A93" s="78"/>
      <c r="B93" s="78"/>
      <c r="C93" s="78"/>
      <c r="D93" s="78"/>
      <c r="E93" s="78"/>
      <c r="F93" s="78"/>
      <c r="G93" s="78"/>
      <c r="H93" s="78"/>
      <c r="I93" s="78"/>
      <c r="J93" s="78"/>
      <c r="K93" s="78"/>
    </row>
    <row r="94" spans="1:16" x14ac:dyDescent="0.25">
      <c r="A94" s="78"/>
      <c r="B94" s="78"/>
      <c r="C94" s="78"/>
      <c r="D94" s="78"/>
      <c r="E94" s="78"/>
      <c r="F94" s="78"/>
      <c r="G94" s="78"/>
      <c r="H94" s="78"/>
      <c r="I94" s="78"/>
      <c r="J94" s="78"/>
      <c r="K94" s="78"/>
    </row>
    <row r="95" spans="1:16" x14ac:dyDescent="0.25">
      <c r="A95" s="57"/>
      <c r="B95" s="57"/>
      <c r="C95" s="57"/>
      <c r="D95" s="57"/>
      <c r="E95" s="57"/>
      <c r="F95" s="57"/>
      <c r="G95" s="57"/>
      <c r="H95" s="57"/>
      <c r="I95" s="57"/>
      <c r="J95" s="57"/>
      <c r="K95" s="57"/>
    </row>
    <row r="96" spans="1:16" x14ac:dyDescent="0.25">
      <c r="A96" s="57"/>
      <c r="B96" s="57"/>
      <c r="C96" s="57"/>
      <c r="D96" s="57"/>
      <c r="E96" s="57"/>
      <c r="F96" s="57"/>
      <c r="G96" s="57"/>
      <c r="H96" s="57"/>
      <c r="I96" s="57"/>
      <c r="J96" s="57"/>
      <c r="K96" s="57"/>
    </row>
    <row r="97" s="57" customFormat="1" x14ac:dyDescent="0.25"/>
    <row r="98" s="57" customFormat="1" x14ac:dyDescent="0.25"/>
  </sheetData>
  <sheetProtection password="E593" sheet="1" objects="1" scenarios="1"/>
  <customSheetViews>
    <customSheetView guid="{B63065A1-7838-417A-8679-08A8A2B79CD8}" scale="85" showPageBreaks="1" showGridLines="0" fitToPage="1" printArea="1" topLeftCell="A7">
      <selection activeCell="F49" sqref="F49"/>
      <rowBreaks count="2" manualBreakCount="2">
        <brk id="44" max="9" man="1"/>
        <brk id="69" max="65535" man="1"/>
      </rowBreaks>
      <pageMargins left="0" right="0" top="0" bottom="0" header="0" footer="0"/>
      <printOptions horizontalCentered="1"/>
      <pageSetup scale="71" orientation="portrait" blackAndWhite="1" r:id="rId1"/>
      <headerFooter alignWithMargins="0"/>
    </customSheetView>
  </customSheetViews>
  <mergeCells count="6">
    <mergeCell ref="L8:L27"/>
    <mergeCell ref="C3:J3"/>
    <mergeCell ref="C5:J5"/>
    <mergeCell ref="C6:J6"/>
    <mergeCell ref="C76:I88"/>
    <mergeCell ref="C74:I75"/>
  </mergeCells>
  <conditionalFormatting sqref="H36 H38 H51:H57 H59">
    <cfRule type="expression" dxfId="18" priority="1" stopIfTrue="1">
      <formula>$H$27="Estimated"</formula>
    </cfRule>
  </conditionalFormatting>
  <dataValidations count="2">
    <dataValidation allowBlank="1" showInputMessage="1" showErrorMessage="1" prompt="If &quot;Major Plant Additions in Test Year&quot; above includes any plant located outside the municipal limits, then also include that amount in the total in this cell." sqref="I36"/>
    <dataValidation allowBlank="1" showInputMessage="1" showErrorMessage="1" error="Amount must be LESS THAN  the higher of the current year calculation or 1994 payable in 1995 OR cell MUST BE BLANK." prompt="Leave cell BLANK unless the Municipality has approved an amount less than the higher tax equivalent for the current year or 1994 payable in 1995." sqref="H45:I45"/>
  </dataValidations>
  <printOptions horizontalCentered="1"/>
  <pageMargins left="0" right="0" top="0" bottom="0" header="0" footer="0"/>
  <pageSetup scale="69" orientation="portrait" blackAndWhite="1" r:id="rId2"/>
  <headerFooter alignWithMargins="0"/>
  <rowBreaks count="3" manualBreakCount="3">
    <brk id="46" max="16383" man="1"/>
    <brk id="47" min="1" max="9" man="1"/>
    <brk id="69" min="1" max="9" man="1"/>
  </rowBreaks>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BackMain">
                <anchor moveWithCells="1" sizeWithCells="1">
                  <from>
                    <xdr:col>2</xdr:col>
                    <xdr:colOff>7620</xdr:colOff>
                    <xdr:row>3</xdr:row>
                    <xdr:rowOff>68580</xdr:rowOff>
                  </from>
                  <to>
                    <xdr:col>2</xdr:col>
                    <xdr:colOff>830580</xdr:colOff>
                    <xdr:row>6</xdr:row>
                    <xdr:rowOff>0</xdr:rowOff>
                  </to>
                </anchor>
              </controlPr>
            </control>
          </mc:Choice>
        </mc:AlternateContent>
        <mc:AlternateContent xmlns:mc="http://schemas.openxmlformats.org/markup-compatibility/2006">
          <mc:Choice Requires="x14">
            <control shapeId="14338" r:id="rId6" name="Button 2">
              <controlPr defaultSize="0" print="0" autoFill="0" autoPict="0" macro="[0]!BackMain">
                <anchor moveWithCells="1" sizeWithCells="1">
                  <from>
                    <xdr:col>9</xdr:col>
                    <xdr:colOff>266700</xdr:colOff>
                    <xdr:row>90</xdr:row>
                    <xdr:rowOff>121920</xdr:rowOff>
                  </from>
                  <to>
                    <xdr:col>10</xdr:col>
                    <xdr:colOff>7620</xdr:colOff>
                    <xdr:row>93</xdr:row>
                    <xdr:rowOff>38100</xdr:rowOff>
                  </to>
                </anchor>
              </controlPr>
            </control>
          </mc:Choice>
        </mc:AlternateContent>
        <mc:AlternateContent xmlns:mc="http://schemas.openxmlformats.org/markup-compatibility/2006">
          <mc:Choice Requires="x14">
            <control shapeId="14339" r:id="rId7" name="Button 3">
              <controlPr defaultSize="0" print="0" autoFill="0" autoPict="0" macro="[0]!PrintAttach9">
                <anchor moveWithCells="1" sizeWithCells="1">
                  <from>
                    <xdr:col>8</xdr:col>
                    <xdr:colOff>998220</xdr:colOff>
                    <xdr:row>3</xdr:row>
                    <xdr:rowOff>60960</xdr:rowOff>
                  </from>
                  <to>
                    <xdr:col>10</xdr:col>
                    <xdr:colOff>30480</xdr:colOff>
                    <xdr:row>5</xdr:row>
                    <xdr:rowOff>160020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IV391"/>
  <sheetViews>
    <sheetView showGridLines="0" zoomScaleNormal="100" workbookViewId="0">
      <selection activeCell="A27" sqref="A27"/>
    </sheetView>
  </sheetViews>
  <sheetFormatPr defaultColWidth="10.33203125" defaultRowHeight="13.2" x14ac:dyDescent="0.25"/>
  <cols>
    <col min="1" max="1" width="10.33203125" style="28"/>
    <col min="2" max="2" width="10.33203125" style="52" customWidth="1"/>
    <col min="3" max="3" width="45" style="28" customWidth="1"/>
    <col min="4" max="6" width="15.6640625" style="28" customWidth="1"/>
    <col min="7" max="7" width="15.6640625" style="27" customWidth="1"/>
    <col min="8" max="9" width="15.6640625" style="28" customWidth="1"/>
    <col min="10" max="10" width="12.88671875" style="54" customWidth="1"/>
    <col min="11" max="11" width="12.109375" style="54" customWidth="1"/>
    <col min="12" max="12" width="3.5546875" style="28" customWidth="1"/>
    <col min="13" max="13" width="5.109375" style="28" customWidth="1"/>
    <col min="14" max="17" width="10.33203125" style="28"/>
    <col min="18" max="18" width="12.109375" style="28" customWidth="1"/>
    <col min="19" max="16384" width="10.33203125" style="1708"/>
  </cols>
  <sheetData>
    <row r="1" spans="1:18" ht="15.75" customHeight="1" x14ac:dyDescent="0.25">
      <c r="A1" s="78"/>
      <c r="B1" s="677" t="str">
        <f>Data!H3 &amp; " Test Year"</f>
        <v>2023 Test Year</v>
      </c>
      <c r="C1" s="469"/>
      <c r="D1" s="469"/>
      <c r="E1" s="469"/>
      <c r="F1" s="469"/>
      <c r="G1" s="469"/>
      <c r="H1" s="469"/>
      <c r="I1" s="469"/>
      <c r="J1" s="469"/>
      <c r="K1" s="470" t="s">
        <v>439</v>
      </c>
      <c r="L1" s="78"/>
      <c r="M1" s="78"/>
      <c r="N1" s="78"/>
      <c r="O1" s="78"/>
      <c r="P1" s="78"/>
      <c r="Q1" s="78"/>
      <c r="R1" s="78"/>
    </row>
    <row r="2" spans="1:18" ht="15.75" customHeight="1" x14ac:dyDescent="0.25">
      <c r="A2" s="78"/>
      <c r="B2" s="471"/>
      <c r="C2" s="561"/>
      <c r="D2" s="2517" t="str">
        <f>Utility</f>
        <v>Cleveland Water Utility</v>
      </c>
      <c r="E2" s="2518"/>
      <c r="F2" s="2518"/>
      <c r="G2" s="2518"/>
      <c r="H2" s="469"/>
      <c r="I2" s="470"/>
      <c r="J2" s="469"/>
      <c r="K2" s="470" t="s">
        <v>440</v>
      </c>
      <c r="L2" s="78"/>
      <c r="M2" s="78"/>
      <c r="N2" s="78"/>
      <c r="O2" s="78"/>
      <c r="P2" s="78"/>
      <c r="Q2" s="78"/>
      <c r="R2" s="78"/>
    </row>
    <row r="3" spans="1:18" ht="15.75" customHeight="1" x14ac:dyDescent="0.25">
      <c r="A3" s="78"/>
      <c r="B3" s="562"/>
      <c r="C3" s="561"/>
      <c r="D3" s="475"/>
      <c r="E3" s="475"/>
      <c r="F3" s="475"/>
      <c r="G3" s="475"/>
      <c r="H3" s="469"/>
      <c r="I3" s="469"/>
      <c r="J3" s="561"/>
      <c r="K3" s="561"/>
      <c r="L3" s="78"/>
      <c r="M3" s="78"/>
      <c r="N3" s="78"/>
      <c r="O3" s="78"/>
      <c r="P3" s="78"/>
      <c r="Q3" s="78"/>
      <c r="R3" s="78"/>
    </row>
    <row r="4" spans="1:18" ht="15.75" customHeight="1" x14ac:dyDescent="0.25">
      <c r="A4" s="78"/>
      <c r="B4" s="563"/>
      <c r="C4" s="561" t="s">
        <v>442</v>
      </c>
      <c r="D4" s="2519" t="s">
        <v>441</v>
      </c>
      <c r="E4" s="2518"/>
      <c r="F4" s="2518"/>
      <c r="G4" s="2518"/>
      <c r="H4" s="564"/>
      <c r="I4" s="564"/>
      <c r="J4" s="563"/>
      <c r="K4" s="563"/>
      <c r="L4" s="78"/>
      <c r="M4" s="78"/>
      <c r="N4" s="78"/>
      <c r="O4" s="78"/>
      <c r="P4" s="78"/>
      <c r="Q4" s="78"/>
      <c r="R4" s="78"/>
    </row>
    <row r="5" spans="1:18" ht="15.75" customHeight="1" thickBot="1" x14ac:dyDescent="0.3">
      <c r="A5" s="78"/>
      <c r="B5" s="562"/>
      <c r="C5" s="561"/>
      <c r="D5" s="2520" t="str">
        <f>CONCATENATE("Estimated for Test Year ",TestYear)</f>
        <v>Estimated for Test Year 2023</v>
      </c>
      <c r="E5" s="2521"/>
      <c r="F5" s="2521"/>
      <c r="G5" s="2521"/>
      <c r="H5" s="469"/>
      <c r="I5" s="469"/>
      <c r="J5" s="561"/>
      <c r="K5" s="561"/>
      <c r="L5" s="78"/>
      <c r="M5" s="78"/>
      <c r="N5" s="78"/>
      <c r="O5" s="78"/>
      <c r="P5" s="78"/>
      <c r="Q5" s="78"/>
      <c r="R5" s="78"/>
    </row>
    <row r="6" spans="1:18" ht="15.75" customHeight="1" thickTop="1" x14ac:dyDescent="0.25">
      <c r="A6" s="78"/>
      <c r="B6" s="710"/>
      <c r="C6" s="711" t="s">
        <v>1292</v>
      </c>
      <c r="D6" s="712"/>
      <c r="E6" s="660"/>
      <c r="F6" s="660"/>
      <c r="G6" s="661"/>
      <c r="H6" s="661"/>
      <c r="I6" s="732"/>
      <c r="J6" s="733"/>
      <c r="K6" s="734"/>
      <c r="L6" s="78"/>
      <c r="M6" s="78"/>
      <c r="N6" s="78"/>
      <c r="O6" s="78"/>
      <c r="P6" s="78"/>
      <c r="Q6" s="78"/>
      <c r="R6" s="78"/>
    </row>
    <row r="7" spans="1:18" x14ac:dyDescent="0.25">
      <c r="A7" s="78"/>
      <c r="B7" s="583"/>
      <c r="C7" s="584" t="s">
        <v>1293</v>
      </c>
      <c r="D7" s="585"/>
      <c r="E7" s="586"/>
      <c r="F7" s="586"/>
      <c r="G7" s="2049"/>
      <c r="H7" s="2049"/>
      <c r="I7" s="588"/>
      <c r="J7" s="2115"/>
      <c r="K7" s="2116"/>
      <c r="L7" s="78"/>
      <c r="M7" s="78"/>
      <c r="N7" s="78"/>
      <c r="O7" s="78"/>
      <c r="P7" s="78"/>
      <c r="Q7" s="78"/>
      <c r="R7" s="78"/>
    </row>
    <row r="8" spans="1:18" x14ac:dyDescent="0.25">
      <c r="A8" s="78"/>
      <c r="B8" s="583"/>
      <c r="C8" s="584" t="s">
        <v>1294</v>
      </c>
      <c r="D8" s="585"/>
      <c r="E8" s="586"/>
      <c r="F8" s="586"/>
      <c r="G8" s="2049"/>
      <c r="H8" s="2049"/>
      <c r="I8" s="588"/>
      <c r="J8" s="2115"/>
      <c r="K8" s="2116"/>
      <c r="L8" s="78"/>
      <c r="M8" s="78"/>
      <c r="N8" s="78"/>
      <c r="O8" s="78"/>
      <c r="P8" s="78"/>
      <c r="Q8" s="78"/>
      <c r="R8" s="78"/>
    </row>
    <row r="9" spans="1:18" ht="15.75" customHeight="1" x14ac:dyDescent="0.25">
      <c r="A9" s="78"/>
      <c r="B9" s="583"/>
      <c r="C9" s="584"/>
      <c r="D9" s="585"/>
      <c r="E9" s="586"/>
      <c r="F9" s="586"/>
      <c r="G9" s="2049"/>
      <c r="H9" s="2049"/>
      <c r="I9" s="588" t="str">
        <f>IF(Data!H5="Actual",CONCATENATE(D11,", ",E11,", ",F11,", ",G11),CONCATENATE(D11,", ",E11,", ",F11))</f>
        <v>2019, 2020, 2021</v>
      </c>
      <c r="J9" s="2115"/>
      <c r="K9" s="2116"/>
      <c r="L9" s="78"/>
      <c r="M9" s="78"/>
      <c r="N9" s="1708"/>
      <c r="O9" s="1708"/>
      <c r="P9" s="1708"/>
      <c r="Q9" s="1708"/>
      <c r="R9" s="1708"/>
    </row>
    <row r="10" spans="1:18" ht="15.75" customHeight="1" x14ac:dyDescent="0.25">
      <c r="A10" s="78"/>
      <c r="B10" s="583" t="s">
        <v>443</v>
      </c>
      <c r="C10" s="584"/>
      <c r="D10" s="585"/>
      <c r="E10" s="586"/>
      <c r="F10" s="586"/>
      <c r="G10" s="591" t="str">
        <f>Data!H5</f>
        <v>Estimated</v>
      </c>
      <c r="H10" s="592" t="s">
        <v>313</v>
      </c>
      <c r="I10" s="588" t="str">
        <f>IF(Data!H5="Actual", "4 Year", "3 Year")</f>
        <v>3 Year</v>
      </c>
      <c r="J10" s="593" t="str">
        <f>G10</f>
        <v>Estimated</v>
      </c>
      <c r="K10" s="654" t="s">
        <v>313</v>
      </c>
      <c r="L10" s="78"/>
      <c r="M10" s="78"/>
      <c r="N10" s="1708"/>
      <c r="O10" s="1708"/>
      <c r="P10" s="1708"/>
      <c r="Q10" s="1708"/>
      <c r="R10" s="1708"/>
    </row>
    <row r="11" spans="1:18" ht="15.75" customHeight="1" x14ac:dyDescent="0.25">
      <c r="A11" s="78"/>
      <c r="B11" s="594" t="s">
        <v>444</v>
      </c>
      <c r="C11" s="577" t="s">
        <v>315</v>
      </c>
      <c r="D11" s="578">
        <f>TestYear-4</f>
        <v>2019</v>
      </c>
      <c r="E11" s="578">
        <f>TestYear-3</f>
        <v>2020</v>
      </c>
      <c r="F11" s="579">
        <f>TestYear-2</f>
        <v>2021</v>
      </c>
      <c r="G11" s="578">
        <f>TestYear-1</f>
        <v>2022</v>
      </c>
      <c r="H11" s="579">
        <f>TestYear</f>
        <v>2023</v>
      </c>
      <c r="I11" s="578" t="s">
        <v>175</v>
      </c>
      <c r="J11" s="572">
        <f>TestYear-1</f>
        <v>2022</v>
      </c>
      <c r="K11" s="655">
        <f>TestYear</f>
        <v>2023</v>
      </c>
      <c r="L11" s="78"/>
      <c r="M11" s="78"/>
      <c r="N11" s="1708"/>
      <c r="O11" s="1708"/>
      <c r="P11" s="1708"/>
      <c r="Q11" s="1708"/>
      <c r="R11" s="1708"/>
    </row>
    <row r="12" spans="1:18" ht="15.75" customHeight="1" x14ac:dyDescent="0.25">
      <c r="A12" s="78"/>
      <c r="B12" s="595" t="s">
        <v>445</v>
      </c>
      <c r="C12" s="568"/>
      <c r="D12" s="642" t="s">
        <v>446</v>
      </c>
      <c r="E12" s="687"/>
      <c r="F12" s="687"/>
      <c r="G12" s="477"/>
      <c r="H12" s="477"/>
      <c r="I12" s="687" t="s">
        <v>446</v>
      </c>
      <c r="J12" s="735"/>
      <c r="K12" s="736"/>
      <c r="L12" s="78"/>
      <c r="M12" s="78"/>
      <c r="N12" s="57"/>
      <c r="O12" s="57"/>
      <c r="P12" s="57"/>
      <c r="Q12" s="57"/>
      <c r="R12" s="57"/>
    </row>
    <row r="13" spans="1:18" ht="15.75" customHeight="1" x14ac:dyDescent="0.25">
      <c r="A13" s="78"/>
      <c r="B13" s="583">
        <v>600</v>
      </c>
      <c r="C13" s="569" t="s">
        <v>448</v>
      </c>
      <c r="D13" s="688">
        <f>Data!B21</f>
        <v>40860</v>
      </c>
      <c r="E13" s="688">
        <f>Data!C21</f>
        <v>40546</v>
      </c>
      <c r="F13" s="688">
        <f>Data!D21</f>
        <v>41728</v>
      </c>
      <c r="G13" s="538">
        <f>Data!E21</f>
        <v>0</v>
      </c>
      <c r="H13" s="936">
        <v>0</v>
      </c>
      <c r="I13" s="688">
        <f>IF(Data!$H$5="Actual", SUM(D13+E13+F13+G13)/4, SUM(D13+E13+F13)/3)</f>
        <v>41044.666666666664</v>
      </c>
      <c r="J13" s="628" t="str">
        <f t="shared" ref="J13:J24" si="0">IF(I13&lt;&gt;0,IF((G13-I13)/I13&gt;0.15,"Explain",IF((G13-I13)/I13&lt;-0.15,"Explain","")),"")</f>
        <v>Explain</v>
      </c>
      <c r="K13" s="629" t="str">
        <f t="shared" ref="K13:K24" si="1">IF(I13&lt;&gt;0,IF((H13-I13)/I13&gt;0.15,"Explain",IF((H13-I13)/I13&lt; -0.15,"Explain","")),"")</f>
        <v>Explain</v>
      </c>
      <c r="L13" s="78"/>
      <c r="M13" s="78"/>
      <c r="N13" s="57"/>
      <c r="O13" s="57"/>
      <c r="P13" s="57"/>
      <c r="Q13" s="57"/>
      <c r="R13" s="57"/>
    </row>
    <row r="14" spans="1:18" ht="15.75" customHeight="1" x14ac:dyDescent="0.25">
      <c r="A14" s="78"/>
      <c r="B14" s="583">
        <v>601</v>
      </c>
      <c r="C14" s="569" t="s">
        <v>753</v>
      </c>
      <c r="D14" s="478">
        <f>Data!B22</f>
        <v>0</v>
      </c>
      <c r="E14" s="478">
        <f>Data!C22</f>
        <v>0</v>
      </c>
      <c r="F14" s="478">
        <f>Data!D22</f>
        <v>0</v>
      </c>
      <c r="G14" s="480">
        <f>Data!E22</f>
        <v>0</v>
      </c>
      <c r="H14" s="937">
        <v>0</v>
      </c>
      <c r="I14" s="478">
        <f>IF(Data!$H$5="Actual", SUM(D14+E14+F14+G14)/4, SUM(D14+E14+F14)/3)</f>
        <v>0</v>
      </c>
      <c r="J14" s="628" t="str">
        <f t="shared" si="0"/>
        <v/>
      </c>
      <c r="K14" s="629" t="str">
        <f t="shared" si="1"/>
        <v/>
      </c>
      <c r="L14" s="78"/>
      <c r="M14" s="78"/>
      <c r="N14" s="57"/>
      <c r="O14" s="57"/>
      <c r="P14" s="57"/>
      <c r="Q14" s="57"/>
      <c r="R14" s="57"/>
    </row>
    <row r="15" spans="1:18" ht="15.75" customHeight="1" x14ac:dyDescent="0.25">
      <c r="A15" s="78"/>
      <c r="B15" s="583">
        <v>602</v>
      </c>
      <c r="C15" s="569" t="s">
        <v>449</v>
      </c>
      <c r="D15" s="478">
        <f>Data!B23</f>
        <v>7619</v>
      </c>
      <c r="E15" s="478">
        <f>Data!C23</f>
        <v>8136</v>
      </c>
      <c r="F15" s="478">
        <f>Data!D23</f>
        <v>10051</v>
      </c>
      <c r="G15" s="480">
        <f>Data!E23</f>
        <v>0</v>
      </c>
      <c r="H15" s="937">
        <v>0</v>
      </c>
      <c r="I15" s="478">
        <f>IF(Data!$H$5="Actual", SUM(D15+E15+F15+G15)/4, SUM(D15+E15+F15)/3)</f>
        <v>8602</v>
      </c>
      <c r="J15" s="628" t="str">
        <f t="shared" si="0"/>
        <v>Explain</v>
      </c>
      <c r="K15" s="629" t="str">
        <f t="shared" si="1"/>
        <v>Explain</v>
      </c>
      <c r="L15" s="78"/>
      <c r="M15" s="78"/>
      <c r="N15" s="57"/>
      <c r="O15" s="57"/>
      <c r="P15" s="57"/>
      <c r="Q15" s="57"/>
      <c r="R15" s="57"/>
    </row>
    <row r="16" spans="1:18" ht="15.75" customHeight="1" x14ac:dyDescent="0.25">
      <c r="A16" s="78"/>
      <c r="B16" s="583">
        <v>603</v>
      </c>
      <c r="C16" s="569" t="s">
        <v>754</v>
      </c>
      <c r="D16" s="478">
        <f>Data!B24</f>
        <v>3988</v>
      </c>
      <c r="E16" s="478">
        <f>Data!C24</f>
        <v>4856</v>
      </c>
      <c r="F16" s="478">
        <f>Data!D24</f>
        <v>6254</v>
      </c>
      <c r="G16" s="480">
        <f>Data!E24</f>
        <v>0</v>
      </c>
      <c r="H16" s="937">
        <v>0</v>
      </c>
      <c r="I16" s="478">
        <f>IF(Data!$H$5="Actual", SUM(D16+E16+F16+G16)/4, SUM(D16+E16+F16)/3)</f>
        <v>5032.666666666667</v>
      </c>
      <c r="J16" s="628" t="str">
        <f t="shared" si="0"/>
        <v>Explain</v>
      </c>
      <c r="K16" s="629" t="str">
        <f t="shared" si="1"/>
        <v>Explain</v>
      </c>
      <c r="L16" s="78"/>
      <c r="M16" s="78"/>
      <c r="N16" s="57"/>
      <c r="O16" s="57"/>
      <c r="P16" s="57"/>
      <c r="Q16" s="57"/>
      <c r="R16" s="57"/>
    </row>
    <row r="17" spans="1:18" ht="15.75" customHeight="1" x14ac:dyDescent="0.25">
      <c r="A17" s="78"/>
      <c r="B17" s="583">
        <v>604</v>
      </c>
      <c r="C17" s="569" t="s">
        <v>755</v>
      </c>
      <c r="D17" s="478">
        <f>Data!B25</f>
        <v>8961</v>
      </c>
      <c r="E17" s="478">
        <f>Data!C25</f>
        <v>7104</v>
      </c>
      <c r="F17" s="478">
        <f>Data!D25</f>
        <v>6999</v>
      </c>
      <c r="G17" s="480">
        <f>Data!E25</f>
        <v>0</v>
      </c>
      <c r="H17" s="937">
        <v>0</v>
      </c>
      <c r="I17" s="478">
        <f>IF(Data!$H$5="Actual", SUM(D17+E17+F17+G17)/4, SUM(D17+E17+F17)/3)</f>
        <v>7688</v>
      </c>
      <c r="J17" s="628" t="str">
        <f t="shared" si="0"/>
        <v>Explain</v>
      </c>
      <c r="K17" s="629" t="str">
        <f t="shared" si="1"/>
        <v>Explain</v>
      </c>
      <c r="L17" s="78"/>
      <c r="M17" s="78"/>
      <c r="N17" s="57"/>
      <c r="O17" s="57"/>
      <c r="P17" s="57"/>
      <c r="Q17" s="57"/>
      <c r="R17" s="57"/>
    </row>
    <row r="18" spans="1:18" ht="15.75" customHeight="1" x14ac:dyDescent="0.25">
      <c r="A18" s="78"/>
      <c r="B18" s="583">
        <v>610</v>
      </c>
      <c r="C18" s="477" t="s">
        <v>756</v>
      </c>
      <c r="D18" s="478">
        <f>Data!B26</f>
        <v>44481</v>
      </c>
      <c r="E18" s="478">
        <f>Data!C26</f>
        <v>83908</v>
      </c>
      <c r="F18" s="478">
        <f>Data!D26</f>
        <v>103427</v>
      </c>
      <c r="G18" s="480">
        <f>Data!E26</f>
        <v>0</v>
      </c>
      <c r="H18" s="937">
        <v>0</v>
      </c>
      <c r="I18" s="478">
        <f>IF(Data!$H$5="Actual", SUM(D18+E18+F18+G18)/4, SUM(D18+E18+F18)/3)</f>
        <v>77272</v>
      </c>
      <c r="J18" s="628" t="str">
        <f t="shared" si="0"/>
        <v>Explain</v>
      </c>
      <c r="K18" s="629" t="str">
        <f t="shared" si="1"/>
        <v>Explain</v>
      </c>
      <c r="L18" s="78"/>
      <c r="M18" s="78"/>
      <c r="N18" s="57"/>
      <c r="O18" s="57"/>
      <c r="P18" s="57"/>
      <c r="Q18" s="57"/>
      <c r="R18" s="57"/>
    </row>
    <row r="19" spans="1:18" ht="15.75" customHeight="1" x14ac:dyDescent="0.25">
      <c r="A19" s="78"/>
      <c r="B19" s="583">
        <v>611</v>
      </c>
      <c r="C19" s="569" t="s">
        <v>757</v>
      </c>
      <c r="D19" s="478">
        <f>Data!B27</f>
        <v>1454</v>
      </c>
      <c r="E19" s="478">
        <f>Data!C27</f>
        <v>1256</v>
      </c>
      <c r="F19" s="478">
        <f>Data!D27</f>
        <v>997</v>
      </c>
      <c r="G19" s="480">
        <f>Data!E27</f>
        <v>0</v>
      </c>
      <c r="H19" s="937">
        <v>0</v>
      </c>
      <c r="I19" s="478">
        <f>IF(Data!$H$5="Actual", SUM(D19+E19+F19+G19)/4, SUM(D19+E19+F19)/3)</f>
        <v>1235.6666666666667</v>
      </c>
      <c r="J19" s="628" t="str">
        <f t="shared" si="0"/>
        <v>Explain</v>
      </c>
      <c r="K19" s="629" t="str">
        <f t="shared" si="1"/>
        <v>Explain</v>
      </c>
      <c r="L19" s="78"/>
      <c r="M19" s="78"/>
      <c r="N19" s="57"/>
      <c r="O19" s="57"/>
      <c r="P19" s="57"/>
      <c r="Q19" s="57"/>
      <c r="R19" s="57"/>
    </row>
    <row r="20" spans="1:18" ht="15.75" customHeight="1" x14ac:dyDescent="0.25">
      <c r="A20" s="78"/>
      <c r="B20" s="583">
        <v>612</v>
      </c>
      <c r="C20" s="569" t="s">
        <v>758</v>
      </c>
      <c r="D20" s="478">
        <f>Data!B28</f>
        <v>54855</v>
      </c>
      <c r="E20" s="478">
        <f>Data!C28</f>
        <v>47591</v>
      </c>
      <c r="F20" s="478">
        <f>Data!D28</f>
        <v>42467</v>
      </c>
      <c r="G20" s="480">
        <f>Data!E28</f>
        <v>0</v>
      </c>
      <c r="H20" s="937">
        <v>0</v>
      </c>
      <c r="I20" s="478">
        <f>IF(Data!$H$5="Actual", SUM(D20+E20+F20+G20)/4, SUM(D20+E20+F20)/3)</f>
        <v>48304.333333333336</v>
      </c>
      <c r="J20" s="628" t="str">
        <f t="shared" si="0"/>
        <v>Explain</v>
      </c>
      <c r="K20" s="629" t="str">
        <f t="shared" si="1"/>
        <v>Explain</v>
      </c>
      <c r="L20" s="78"/>
      <c r="M20" s="78"/>
      <c r="N20" s="57"/>
      <c r="O20" s="57"/>
      <c r="P20" s="57"/>
      <c r="Q20" s="57"/>
      <c r="R20" s="57"/>
    </row>
    <row r="21" spans="1:18" ht="15.75" customHeight="1" x14ac:dyDescent="0.25">
      <c r="A21" s="78"/>
      <c r="B21" s="583">
        <v>613</v>
      </c>
      <c r="C21" s="569" t="s">
        <v>759</v>
      </c>
      <c r="D21" s="478">
        <f>Data!B29</f>
        <v>11281</v>
      </c>
      <c r="E21" s="478">
        <f>Data!C29</f>
        <v>12538</v>
      </c>
      <c r="F21" s="478">
        <f>Data!D29</f>
        <v>13676</v>
      </c>
      <c r="G21" s="480">
        <f>Data!E29</f>
        <v>0</v>
      </c>
      <c r="H21" s="937">
        <v>0</v>
      </c>
      <c r="I21" s="478">
        <f>IF(Data!$H$5="Actual", SUM(D21+E21+F21+G21)/4, SUM(D21+E21+F21)/3)</f>
        <v>12498.333333333334</v>
      </c>
      <c r="J21" s="628" t="str">
        <f t="shared" si="0"/>
        <v>Explain</v>
      </c>
      <c r="K21" s="629" t="str">
        <f t="shared" si="1"/>
        <v>Explain</v>
      </c>
      <c r="L21" s="78"/>
      <c r="M21" s="78"/>
      <c r="N21" s="57"/>
      <c r="O21" s="57"/>
      <c r="P21" s="57"/>
      <c r="Q21" s="57"/>
      <c r="R21" s="57"/>
    </row>
    <row r="22" spans="1:18" ht="15.75" customHeight="1" x14ac:dyDescent="0.25">
      <c r="A22" s="78"/>
      <c r="B22" s="583">
        <v>614</v>
      </c>
      <c r="C22" s="569" t="s">
        <v>760</v>
      </c>
      <c r="D22" s="478">
        <f>Data!B30</f>
        <v>23791</v>
      </c>
      <c r="E22" s="478">
        <f>Data!C30</f>
        <v>48760</v>
      </c>
      <c r="F22" s="478">
        <f>Data!D30</f>
        <v>39408</v>
      </c>
      <c r="G22" s="480">
        <f>Data!E30</f>
        <v>0</v>
      </c>
      <c r="H22" s="937">
        <v>0</v>
      </c>
      <c r="I22" s="478">
        <f>IF(Data!$H$5="Actual", SUM(D22+E22+F22+G22)/4, SUM(D22+E22+F22)/3)</f>
        <v>37319.666666666664</v>
      </c>
      <c r="J22" s="628" t="str">
        <f t="shared" si="0"/>
        <v>Explain</v>
      </c>
      <c r="K22" s="629" t="str">
        <f t="shared" si="1"/>
        <v>Explain</v>
      </c>
      <c r="L22" s="78"/>
      <c r="M22" s="78"/>
      <c r="N22" s="57"/>
      <c r="O22" s="57"/>
      <c r="P22" s="57"/>
      <c r="Q22" s="57"/>
      <c r="R22" s="57"/>
    </row>
    <row r="23" spans="1:18" ht="15.75" customHeight="1" x14ac:dyDescent="0.25">
      <c r="A23" s="78"/>
      <c r="B23" s="583">
        <v>616</v>
      </c>
      <c r="C23" s="569" t="s">
        <v>761</v>
      </c>
      <c r="D23" s="478">
        <f>Data!B31</f>
        <v>8213</v>
      </c>
      <c r="E23" s="478">
        <f>Data!C31</f>
        <v>8573</v>
      </c>
      <c r="F23" s="478">
        <f>Data!D31</f>
        <v>9109</v>
      </c>
      <c r="G23" s="480">
        <f>Data!E31</f>
        <v>0</v>
      </c>
      <c r="H23" s="937">
        <v>0</v>
      </c>
      <c r="I23" s="478">
        <f>IF(Data!$H$5="Actual", SUM(D23+E23+F23+G23)/4, SUM(D23+E23+F23)/3)</f>
        <v>8631.6666666666661</v>
      </c>
      <c r="J23" s="628" t="str">
        <f t="shared" si="0"/>
        <v>Explain</v>
      </c>
      <c r="K23" s="629" t="str">
        <f t="shared" si="1"/>
        <v>Explain</v>
      </c>
      <c r="L23" s="78"/>
      <c r="M23" s="78"/>
      <c r="N23" s="57"/>
      <c r="O23" s="57"/>
      <c r="P23" s="57"/>
      <c r="Q23" s="57"/>
      <c r="R23" s="57"/>
    </row>
    <row r="24" spans="1:18" ht="15.75" customHeight="1" x14ac:dyDescent="0.25">
      <c r="A24" s="78"/>
      <c r="B24" s="583">
        <v>617</v>
      </c>
      <c r="C24" s="569" t="s">
        <v>762</v>
      </c>
      <c r="D24" s="478">
        <f>Data!B32</f>
        <v>22220</v>
      </c>
      <c r="E24" s="478">
        <f>Data!C32</f>
        <v>19472</v>
      </c>
      <c r="F24" s="478">
        <f>Data!D32</f>
        <v>18483</v>
      </c>
      <c r="G24" s="480">
        <f>Data!E32</f>
        <v>0</v>
      </c>
      <c r="H24" s="937">
        <v>0</v>
      </c>
      <c r="I24" s="478">
        <f>IF(Data!$H$5="Actual", SUM(D24+E24+F24+G24)/4, SUM(D24+E24+F24)/3)</f>
        <v>20058.333333333332</v>
      </c>
      <c r="J24" s="628" t="str">
        <f t="shared" si="0"/>
        <v>Explain</v>
      </c>
      <c r="K24" s="629" t="str">
        <f t="shared" si="1"/>
        <v>Explain</v>
      </c>
      <c r="L24" s="78"/>
      <c r="M24" s="78"/>
      <c r="N24" s="57"/>
      <c r="O24" s="57"/>
      <c r="P24" s="57"/>
      <c r="Q24" s="57"/>
      <c r="R24" s="57"/>
    </row>
    <row r="25" spans="1:18" ht="15.75" customHeight="1" x14ac:dyDescent="0.25">
      <c r="A25" s="78"/>
      <c r="B25" s="583"/>
      <c r="C25" s="569"/>
      <c r="D25" s="721"/>
      <c r="E25" s="721"/>
      <c r="F25" s="721"/>
      <c r="G25" s="707"/>
      <c r="H25" s="707"/>
      <c r="I25" s="707"/>
      <c r="J25" s="714"/>
      <c r="K25" s="715"/>
      <c r="L25" s="78"/>
      <c r="M25" s="78"/>
      <c r="N25" s="57"/>
      <c r="O25" s="57"/>
      <c r="P25" s="57"/>
      <c r="Q25" s="57"/>
      <c r="R25" s="57"/>
    </row>
    <row r="26" spans="1:18" ht="15.75" customHeight="1" x14ac:dyDescent="0.25">
      <c r="A26" s="78"/>
      <c r="B26" s="583"/>
      <c r="C26" s="477" t="s">
        <v>452</v>
      </c>
      <c r="D26" s="703">
        <f t="shared" ref="D26:I26" si="2">SUM(D13:D24)</f>
        <v>227723</v>
      </c>
      <c r="E26" s="703">
        <f t="shared" si="2"/>
        <v>282740</v>
      </c>
      <c r="F26" s="703">
        <f t="shared" si="2"/>
        <v>292599</v>
      </c>
      <c r="G26" s="703">
        <f t="shared" si="2"/>
        <v>0</v>
      </c>
      <c r="H26" s="703">
        <f t="shared" si="2"/>
        <v>0</v>
      </c>
      <c r="I26" s="703">
        <f t="shared" si="2"/>
        <v>267687.33333333331</v>
      </c>
      <c r="J26" s="714"/>
      <c r="K26" s="715"/>
      <c r="L26" s="78"/>
      <c r="M26" s="78"/>
      <c r="N26" s="57"/>
      <c r="O26" s="57"/>
      <c r="P26" s="57"/>
      <c r="Q26" s="57"/>
      <c r="R26" s="57"/>
    </row>
    <row r="27" spans="1:18" ht="15.75" customHeight="1" x14ac:dyDescent="0.25">
      <c r="A27" s="78"/>
      <c r="B27" s="583"/>
      <c r="C27" s="477"/>
      <c r="D27" s="642"/>
      <c r="E27" s="642"/>
      <c r="F27" s="642"/>
      <c r="G27" s="641"/>
      <c r="H27" s="641"/>
      <c r="I27" s="641"/>
      <c r="J27" s="714"/>
      <c r="K27" s="715"/>
      <c r="L27" s="78"/>
      <c r="M27" s="78"/>
      <c r="N27" s="57"/>
      <c r="O27" s="57"/>
      <c r="P27" s="57"/>
      <c r="Q27" s="57"/>
      <c r="R27" s="57"/>
    </row>
    <row r="28" spans="1:18" ht="15.75" customHeight="1" x14ac:dyDescent="0.25">
      <c r="A28" s="78"/>
      <c r="B28" s="583">
        <v>620</v>
      </c>
      <c r="C28" s="477" t="s">
        <v>763</v>
      </c>
      <c r="D28" s="688">
        <f>Data!B33</f>
        <v>70</v>
      </c>
      <c r="E28" s="688">
        <f>Data!C33</f>
        <v>149</v>
      </c>
      <c r="F28" s="688">
        <f>Data!D33</f>
        <v>250</v>
      </c>
      <c r="G28" s="538">
        <f>Data!E33</f>
        <v>0</v>
      </c>
      <c r="H28" s="936">
        <v>0</v>
      </c>
      <c r="I28" s="688">
        <f>IF(Data!$H$5="Actual", SUM(D28+E28+F28+G28)/4, SUM(D28+E28+F28)/3)</f>
        <v>156.33333333333334</v>
      </c>
      <c r="J28" s="628" t="str">
        <f t="shared" ref="J28:J39" si="3">IF(I28&lt;&gt;0,IF((G28-I28)/I28&gt;0.15,"Explain",IF((G28-I28)/I28&lt;-0.15,"Explain","")),"")</f>
        <v>Explain</v>
      </c>
      <c r="K28" s="629" t="str">
        <f t="shared" ref="K28:K39" si="4">IF(I28&lt;&gt;0,IF((H28-I28)/I28&gt;0.15,"Explain",IF((H28-I28)/I28&lt; -0.15,"Explain","")),"")</f>
        <v>Explain</v>
      </c>
      <c r="L28" s="78"/>
      <c r="M28" s="78"/>
      <c r="N28" s="57"/>
      <c r="O28" s="57"/>
      <c r="P28" s="57"/>
      <c r="Q28" s="57"/>
      <c r="R28" s="57"/>
    </row>
    <row r="29" spans="1:18" ht="15.75" customHeight="1" x14ac:dyDescent="0.25">
      <c r="A29" s="78"/>
      <c r="B29" s="583">
        <v>621</v>
      </c>
      <c r="C29" s="569" t="s">
        <v>453</v>
      </c>
      <c r="D29" s="478">
        <f>Data!B34</f>
        <v>862</v>
      </c>
      <c r="E29" s="478">
        <f>Data!C34</f>
        <v>736</v>
      </c>
      <c r="F29" s="478">
        <f>Data!D34</f>
        <v>1078</v>
      </c>
      <c r="G29" s="480">
        <f>Data!E34</f>
        <v>0</v>
      </c>
      <c r="H29" s="937">
        <v>0</v>
      </c>
      <c r="I29" s="478">
        <f>IF(Data!$H$5="Actual", SUM(D29+E29+F29+G29)/4, SUM(D29+E29+F29)/3)</f>
        <v>892</v>
      </c>
      <c r="J29" s="628" t="str">
        <f t="shared" si="3"/>
        <v>Explain</v>
      </c>
      <c r="K29" s="629" t="str">
        <f t="shared" si="4"/>
        <v>Explain</v>
      </c>
      <c r="L29" s="78"/>
      <c r="M29" s="78"/>
      <c r="N29" s="57"/>
      <c r="O29" s="57"/>
      <c r="P29" s="57"/>
      <c r="Q29" s="57"/>
      <c r="R29" s="57"/>
    </row>
    <row r="30" spans="1:18" ht="15.75" customHeight="1" x14ac:dyDescent="0.25">
      <c r="A30" s="78"/>
      <c r="B30" s="583">
        <v>622</v>
      </c>
      <c r="C30" s="569" t="s">
        <v>764</v>
      </c>
      <c r="D30" s="478">
        <f>Data!B35</f>
        <v>0</v>
      </c>
      <c r="E30" s="478">
        <f>Data!C35</f>
        <v>0</v>
      </c>
      <c r="F30" s="478">
        <f>Data!D35</f>
        <v>55</v>
      </c>
      <c r="G30" s="480">
        <f>Data!E35</f>
        <v>0</v>
      </c>
      <c r="H30" s="937">
        <v>0</v>
      </c>
      <c r="I30" s="478">
        <f>IF(Data!$H$5="Actual", SUM(D30+E30+F30+G30)/4, SUM(D30+E30+F30)/3)</f>
        <v>18.333333333333332</v>
      </c>
      <c r="J30" s="628" t="str">
        <f t="shared" si="3"/>
        <v>Explain</v>
      </c>
      <c r="K30" s="629" t="str">
        <f t="shared" si="4"/>
        <v>Explain</v>
      </c>
      <c r="L30" s="78"/>
      <c r="M30" s="78"/>
      <c r="N30" s="57"/>
      <c r="O30" s="57"/>
      <c r="P30" s="57"/>
      <c r="Q30" s="57"/>
      <c r="R30" s="57"/>
    </row>
    <row r="31" spans="1:18" ht="15.75" customHeight="1" x14ac:dyDescent="0.25">
      <c r="A31" s="78"/>
      <c r="B31" s="583">
        <v>623</v>
      </c>
      <c r="C31" s="569" t="s">
        <v>765</v>
      </c>
      <c r="D31" s="478">
        <f>Data!B36</f>
        <v>0</v>
      </c>
      <c r="E31" s="478">
        <f>Data!C36</f>
        <v>0</v>
      </c>
      <c r="F31" s="478">
        <f>Data!D36</f>
        <v>0</v>
      </c>
      <c r="G31" s="480">
        <f>Data!E36</f>
        <v>0</v>
      </c>
      <c r="H31" s="937">
        <v>0</v>
      </c>
      <c r="I31" s="478">
        <f>IF(Data!$H$5="Actual", SUM(D31+E31+F31+G31)/4, SUM(D31+E31+F31)/3)</f>
        <v>0</v>
      </c>
      <c r="J31" s="628" t="str">
        <f t="shared" si="3"/>
        <v/>
      </c>
      <c r="K31" s="629" t="str">
        <f t="shared" si="4"/>
        <v/>
      </c>
      <c r="L31" s="78"/>
      <c r="M31" s="78"/>
      <c r="N31" s="57"/>
      <c r="O31" s="57"/>
      <c r="P31" s="57"/>
      <c r="Q31" s="57"/>
      <c r="R31" s="57"/>
    </row>
    <row r="32" spans="1:18" ht="15.75" customHeight="1" x14ac:dyDescent="0.25">
      <c r="A32" s="78"/>
      <c r="B32" s="583">
        <v>624</v>
      </c>
      <c r="C32" s="569" t="s">
        <v>766</v>
      </c>
      <c r="D32" s="478">
        <f>Data!B37</f>
        <v>0</v>
      </c>
      <c r="E32" s="478">
        <f>Data!C37</f>
        <v>0</v>
      </c>
      <c r="F32" s="478">
        <f>Data!D37</f>
        <v>0</v>
      </c>
      <c r="G32" s="480">
        <f>Data!E37</f>
        <v>0</v>
      </c>
      <c r="H32" s="937">
        <v>0</v>
      </c>
      <c r="I32" s="478">
        <f>IF(Data!$H$5="Actual", SUM(D32+E32+F32+G32)/4, SUM(D32+E32+F32)/3)</f>
        <v>0</v>
      </c>
      <c r="J32" s="628" t="str">
        <f t="shared" si="3"/>
        <v/>
      </c>
      <c r="K32" s="629" t="str">
        <f t="shared" si="4"/>
        <v/>
      </c>
      <c r="L32" s="78"/>
      <c r="M32" s="78"/>
      <c r="N32" s="57"/>
      <c r="O32" s="57"/>
      <c r="P32" s="57"/>
      <c r="Q32" s="57"/>
      <c r="R32" s="57"/>
    </row>
    <row r="33" spans="1:256" ht="15.75" customHeight="1" x14ac:dyDescent="0.25">
      <c r="A33" s="78"/>
      <c r="B33" s="583">
        <v>625</v>
      </c>
      <c r="C33" s="569" t="s">
        <v>767</v>
      </c>
      <c r="D33" s="478">
        <f>Data!B38</f>
        <v>0</v>
      </c>
      <c r="E33" s="478">
        <f>Data!C38</f>
        <v>0</v>
      </c>
      <c r="F33" s="478">
        <f>Data!D38</f>
        <v>0</v>
      </c>
      <c r="G33" s="480">
        <f>Data!E38</f>
        <v>0</v>
      </c>
      <c r="H33" s="937">
        <v>0</v>
      </c>
      <c r="I33" s="478">
        <f>IF(Data!$H$5="Actual", SUM(D33+E33+F33+G33)/4, SUM(D33+E33+F33)/3)</f>
        <v>0</v>
      </c>
      <c r="J33" s="628" t="str">
        <f t="shared" si="3"/>
        <v/>
      </c>
      <c r="K33" s="629" t="str">
        <f t="shared" si="4"/>
        <v/>
      </c>
      <c r="L33" s="78"/>
      <c r="M33" s="78"/>
      <c r="N33" s="57"/>
      <c r="O33" s="57"/>
      <c r="P33" s="57"/>
      <c r="Q33" s="57"/>
      <c r="R33" s="57"/>
    </row>
    <row r="34" spans="1:256" ht="15.75" customHeight="1" x14ac:dyDescent="0.25">
      <c r="A34" s="78"/>
      <c r="B34" s="583">
        <v>626</v>
      </c>
      <c r="C34" s="569" t="s">
        <v>754</v>
      </c>
      <c r="D34" s="478">
        <f>Data!B39</f>
        <v>0</v>
      </c>
      <c r="E34" s="478">
        <f>Data!C39</f>
        <v>0</v>
      </c>
      <c r="F34" s="478">
        <f>Data!D39</f>
        <v>0</v>
      </c>
      <c r="G34" s="480">
        <f>Data!E39</f>
        <v>0</v>
      </c>
      <c r="H34" s="937">
        <v>0</v>
      </c>
      <c r="I34" s="478">
        <f>IF(Data!$H$5="Actual", SUM(D34+E34+F34+G34)/4, SUM(D34+E34+F34)/3)</f>
        <v>0</v>
      </c>
      <c r="J34" s="628" t="str">
        <f t="shared" si="3"/>
        <v/>
      </c>
      <c r="K34" s="629" t="str">
        <f t="shared" si="4"/>
        <v/>
      </c>
      <c r="L34" s="78"/>
      <c r="M34" s="78"/>
      <c r="N34" s="57"/>
      <c r="O34" s="57"/>
      <c r="P34" s="57"/>
      <c r="Q34" s="57"/>
      <c r="R34" s="57"/>
    </row>
    <row r="35" spans="1:256" ht="15.75" customHeight="1" x14ac:dyDescent="0.25">
      <c r="A35" s="78"/>
      <c r="B35" s="583">
        <v>627</v>
      </c>
      <c r="C35" s="569" t="s">
        <v>755</v>
      </c>
      <c r="D35" s="478">
        <f>Data!B40</f>
        <v>0</v>
      </c>
      <c r="E35" s="478">
        <f>Data!C40</f>
        <v>0</v>
      </c>
      <c r="F35" s="478">
        <f>Data!D40</f>
        <v>0</v>
      </c>
      <c r="G35" s="480">
        <f>Data!E40</f>
        <v>0</v>
      </c>
      <c r="H35" s="937">
        <v>0</v>
      </c>
      <c r="I35" s="478">
        <f>IF(Data!$H$5="Actual", SUM(D35+E35+F35+G35)/4, SUM(D35+E35+F35)/3)</f>
        <v>0</v>
      </c>
      <c r="J35" s="628" t="str">
        <f t="shared" si="3"/>
        <v/>
      </c>
      <c r="K35" s="629" t="str">
        <f t="shared" si="4"/>
        <v/>
      </c>
      <c r="L35" s="78"/>
      <c r="M35" s="78"/>
      <c r="N35" s="57"/>
      <c r="O35" s="57"/>
      <c r="P35" s="57"/>
      <c r="Q35" s="57"/>
      <c r="R35" s="57"/>
    </row>
    <row r="36" spans="1:256" ht="15.75" customHeight="1" x14ac:dyDescent="0.25">
      <c r="A36" s="78"/>
      <c r="B36" s="583">
        <v>630</v>
      </c>
      <c r="C36" s="477" t="s">
        <v>756</v>
      </c>
      <c r="D36" s="478">
        <f>Data!B41</f>
        <v>0</v>
      </c>
      <c r="E36" s="478">
        <f>Data!C41</f>
        <v>0</v>
      </c>
      <c r="F36" s="478">
        <f>Data!D41</f>
        <v>0</v>
      </c>
      <c r="G36" s="480">
        <f>Data!E41</f>
        <v>0</v>
      </c>
      <c r="H36" s="937">
        <v>0</v>
      </c>
      <c r="I36" s="478">
        <f>IF(Data!$H$5="Actual", SUM(D36+E36+F36+G36)/4, SUM(D36+E36+F36)/3)</f>
        <v>0</v>
      </c>
      <c r="J36" s="628" t="str">
        <f t="shared" si="3"/>
        <v/>
      </c>
      <c r="K36" s="629" t="str">
        <f t="shared" si="4"/>
        <v/>
      </c>
      <c r="L36" s="78"/>
      <c r="M36" s="78"/>
      <c r="N36" s="57"/>
      <c r="O36" s="57"/>
      <c r="P36" s="57"/>
      <c r="Q36" s="57"/>
      <c r="R36" s="57"/>
    </row>
    <row r="37" spans="1:256" ht="15.75" customHeight="1" x14ac:dyDescent="0.25">
      <c r="A37" s="78"/>
      <c r="B37" s="583">
        <v>631</v>
      </c>
      <c r="C37" s="569" t="s">
        <v>757</v>
      </c>
      <c r="D37" s="478">
        <f>Data!B42</f>
        <v>0</v>
      </c>
      <c r="E37" s="478">
        <f>Data!C42</f>
        <v>0</v>
      </c>
      <c r="F37" s="478">
        <f>Data!D42</f>
        <v>0</v>
      </c>
      <c r="G37" s="480">
        <f>Data!E42</f>
        <v>0</v>
      </c>
      <c r="H37" s="937">
        <v>0</v>
      </c>
      <c r="I37" s="478">
        <f>IF(Data!$H$5="Actual", SUM(D37+E37+F37+G37)/4, SUM(D37+E37+F37)/3)</f>
        <v>0</v>
      </c>
      <c r="J37" s="628" t="str">
        <f t="shared" si="3"/>
        <v/>
      </c>
      <c r="K37" s="629" t="str">
        <f t="shared" si="4"/>
        <v/>
      </c>
      <c r="L37" s="78"/>
      <c r="M37" s="78"/>
      <c r="N37" s="57"/>
      <c r="O37" s="57"/>
      <c r="P37" s="57"/>
      <c r="Q37" s="57"/>
      <c r="R37" s="57"/>
    </row>
    <row r="38" spans="1:256" ht="15.75" customHeight="1" x14ac:dyDescent="0.25">
      <c r="A38" s="78"/>
      <c r="B38" s="583">
        <v>632</v>
      </c>
      <c r="C38" s="569" t="s">
        <v>768</v>
      </c>
      <c r="D38" s="478">
        <f>Data!B43</f>
        <v>0</v>
      </c>
      <c r="E38" s="478">
        <f>Data!C43</f>
        <v>0</v>
      </c>
      <c r="F38" s="478">
        <f>Data!D43</f>
        <v>0</v>
      </c>
      <c r="G38" s="480">
        <f>Data!E43</f>
        <v>0</v>
      </c>
      <c r="H38" s="937">
        <v>0</v>
      </c>
      <c r="I38" s="478">
        <f>IF(Data!$H$5="Actual", SUM(D38+E38+F38+G38)/4, SUM(D38+E38+F38)/3)</f>
        <v>0</v>
      </c>
      <c r="J38" s="628" t="str">
        <f t="shared" si="3"/>
        <v/>
      </c>
      <c r="K38" s="629" t="str">
        <f t="shared" si="4"/>
        <v/>
      </c>
      <c r="L38" s="78"/>
      <c r="M38" s="78"/>
      <c r="N38" s="57"/>
      <c r="O38" s="57"/>
      <c r="P38" s="57"/>
      <c r="Q38" s="57"/>
      <c r="R38" s="57"/>
    </row>
    <row r="39" spans="1:256" ht="15.75" customHeight="1" x14ac:dyDescent="0.25">
      <c r="A39" s="78"/>
      <c r="B39" s="583">
        <v>633</v>
      </c>
      <c r="C39" s="569" t="s">
        <v>769</v>
      </c>
      <c r="D39" s="478">
        <f>Data!B44</f>
        <v>0</v>
      </c>
      <c r="E39" s="478">
        <f>Data!C44</f>
        <v>0</v>
      </c>
      <c r="F39" s="478">
        <f>Data!D44</f>
        <v>0</v>
      </c>
      <c r="G39" s="480">
        <f>Data!E44</f>
        <v>0</v>
      </c>
      <c r="H39" s="937">
        <v>0</v>
      </c>
      <c r="I39" s="478">
        <f>IF(Data!$H$5="Actual", SUM(D39+E39+F39+G39)/4, SUM(D39+E39+F39)/3)</f>
        <v>0</v>
      </c>
      <c r="J39" s="628" t="str">
        <f t="shared" si="3"/>
        <v/>
      </c>
      <c r="K39" s="629" t="str">
        <f t="shared" si="4"/>
        <v/>
      </c>
      <c r="L39" s="78"/>
      <c r="M39" s="78"/>
      <c r="N39" s="57"/>
      <c r="O39" s="57"/>
      <c r="P39" s="57"/>
      <c r="Q39" s="57"/>
      <c r="R39" s="57"/>
    </row>
    <row r="40" spans="1:256" ht="15.75" customHeight="1" x14ac:dyDescent="0.25">
      <c r="A40" s="78"/>
      <c r="B40" s="583"/>
      <c r="C40" s="569"/>
      <c r="D40" s="651"/>
      <c r="E40" s="651"/>
      <c r="F40" s="651"/>
      <c r="G40" s="643"/>
      <c r="H40" s="643"/>
      <c r="I40" s="643"/>
      <c r="J40" s="714"/>
      <c r="K40" s="715"/>
      <c r="L40" s="78"/>
      <c r="M40" s="78"/>
      <c r="N40" s="57"/>
      <c r="O40" s="57"/>
      <c r="P40" s="57"/>
      <c r="Q40" s="57"/>
      <c r="R40" s="57"/>
    </row>
    <row r="41" spans="1:256" ht="15.75" customHeight="1" x14ac:dyDescent="0.25">
      <c r="A41" s="78"/>
      <c r="B41" s="583"/>
      <c r="C41" s="569" t="s">
        <v>456</v>
      </c>
      <c r="D41" s="645">
        <f t="shared" ref="D41:I41" si="5">SUM(D28:D39)</f>
        <v>932</v>
      </c>
      <c r="E41" s="645">
        <f t="shared" si="5"/>
        <v>885</v>
      </c>
      <c r="F41" s="645">
        <f t="shared" si="5"/>
        <v>1383</v>
      </c>
      <c r="G41" s="645">
        <f t="shared" si="5"/>
        <v>0</v>
      </c>
      <c r="H41" s="645">
        <f t="shared" si="5"/>
        <v>0</v>
      </c>
      <c r="I41" s="645">
        <f t="shared" si="5"/>
        <v>1066.6666666666665</v>
      </c>
      <c r="J41" s="714"/>
      <c r="K41" s="715"/>
      <c r="L41" s="78"/>
      <c r="M41" s="78"/>
      <c r="N41" s="57"/>
      <c r="O41" s="57"/>
      <c r="P41" s="57"/>
      <c r="Q41" s="57"/>
      <c r="R41" s="57"/>
    </row>
    <row r="42" spans="1:256" ht="15.75" customHeight="1" x14ac:dyDescent="0.25">
      <c r="A42" s="78"/>
      <c r="B42" s="378"/>
      <c r="C42" s="569"/>
      <c r="D42" s="722"/>
      <c r="E42" s="722"/>
      <c r="F42" s="722"/>
      <c r="G42" s="708"/>
      <c r="H42" s="708"/>
      <c r="I42" s="708"/>
      <c r="J42" s="714"/>
      <c r="K42" s="715"/>
      <c r="L42" s="78"/>
      <c r="M42" s="78"/>
      <c r="N42" s="57"/>
      <c r="O42" s="57"/>
      <c r="P42" s="57"/>
      <c r="Q42" s="57"/>
      <c r="R42" s="57"/>
    </row>
    <row r="43" spans="1:256" s="42" customFormat="1" ht="15.75" customHeight="1" x14ac:dyDescent="0.25">
      <c r="A43" s="180"/>
      <c r="B43" s="583">
        <v>640</v>
      </c>
      <c r="C43" s="477" t="s">
        <v>763</v>
      </c>
      <c r="D43" s="688">
        <f>Data!B45</f>
        <v>0</v>
      </c>
      <c r="E43" s="688">
        <f>Data!C45</f>
        <v>0</v>
      </c>
      <c r="F43" s="688">
        <f>Data!D45</f>
        <v>0</v>
      </c>
      <c r="G43" s="538">
        <f>Data!E45</f>
        <v>0</v>
      </c>
      <c r="H43" s="689">
        <v>0</v>
      </c>
      <c r="I43" s="688">
        <f>IF(Data!$H$5="Actual", SUM(D43+E43+F43+G43)/4, SUM(D43+E43+F43)/3)</f>
        <v>0</v>
      </c>
      <c r="J43" s="628" t="str">
        <f t="shared" ref="J43:J50" si="6">IF(I43&lt;&gt;0,IF((G43-I43)/I43&gt;0.15,"Explain",IF((G43-I43)/I43&lt;-0.15,"Explain","")),"")</f>
        <v/>
      </c>
      <c r="K43" s="629" t="str">
        <f t="shared" ref="K43:K50" si="7">IF(I43&lt;&gt;0,IF((H43-I43)/I43&gt;0.15,"Explain",IF((H43-I43)/I43&lt; -0.15,"Explain","")),"")</f>
        <v/>
      </c>
      <c r="L43" s="180"/>
      <c r="M43" s="180"/>
      <c r="N43" s="1106"/>
      <c r="O43" s="1106"/>
      <c r="P43" s="1106"/>
      <c r="Q43" s="1106"/>
      <c r="R43" s="1106"/>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c r="AN43" s="1858"/>
      <c r="AO43" s="1858"/>
      <c r="AP43" s="1858"/>
      <c r="AQ43" s="1858"/>
      <c r="AR43" s="1858"/>
      <c r="AS43" s="1858"/>
      <c r="AT43" s="1858"/>
      <c r="AU43" s="1858"/>
      <c r="AV43" s="1858"/>
      <c r="AW43" s="1858"/>
      <c r="AX43" s="1858"/>
      <c r="AY43" s="1858"/>
      <c r="AZ43" s="1858"/>
      <c r="BA43" s="1858"/>
      <c r="BB43" s="1858"/>
      <c r="BC43" s="1858"/>
      <c r="BD43" s="1858"/>
      <c r="BE43" s="1858"/>
      <c r="BF43" s="1858"/>
      <c r="BG43" s="1858"/>
      <c r="BH43" s="1858"/>
      <c r="BI43" s="1858"/>
      <c r="BJ43" s="1858"/>
      <c r="BK43" s="1858"/>
      <c r="BL43" s="1858"/>
      <c r="BM43" s="1858"/>
      <c r="BN43" s="1858"/>
      <c r="BO43" s="1858"/>
      <c r="BP43" s="1858"/>
      <c r="BQ43" s="1858"/>
      <c r="BR43" s="1858"/>
      <c r="BS43" s="1858"/>
      <c r="BT43" s="1858"/>
      <c r="BU43" s="1858"/>
      <c r="BV43" s="1858"/>
      <c r="BW43" s="1858"/>
      <c r="BX43" s="1858"/>
      <c r="BY43" s="1858"/>
      <c r="BZ43" s="1858"/>
      <c r="CA43" s="1858"/>
      <c r="CB43" s="1858"/>
      <c r="CC43" s="1858"/>
      <c r="CD43" s="1858"/>
      <c r="CE43" s="1858"/>
      <c r="CF43" s="1858"/>
      <c r="CG43" s="1858"/>
      <c r="CH43" s="1858"/>
      <c r="CI43" s="1858"/>
      <c r="CJ43" s="1858"/>
      <c r="CK43" s="1858"/>
      <c r="CL43" s="1858"/>
      <c r="CM43" s="1858"/>
      <c r="CN43" s="1858"/>
      <c r="CO43" s="1858"/>
      <c r="CP43" s="1858"/>
      <c r="CQ43" s="1858"/>
      <c r="CR43" s="1858"/>
      <c r="CS43" s="1858"/>
      <c r="CT43" s="1858"/>
      <c r="CU43" s="1858"/>
      <c r="CV43" s="1858"/>
      <c r="CW43" s="1858"/>
      <c r="CX43" s="1858"/>
      <c r="CY43" s="1858"/>
      <c r="CZ43" s="1858"/>
      <c r="DA43" s="1858"/>
      <c r="DB43" s="1858"/>
      <c r="DC43" s="1858"/>
      <c r="DD43" s="1858"/>
      <c r="DE43" s="1858"/>
      <c r="DF43" s="1858"/>
      <c r="DG43" s="1858"/>
      <c r="DH43" s="1858"/>
      <c r="DI43" s="1858"/>
      <c r="DJ43" s="1858"/>
      <c r="DK43" s="1858"/>
      <c r="DL43" s="1858"/>
      <c r="DM43" s="1858"/>
      <c r="DN43" s="1858"/>
      <c r="DO43" s="1858"/>
      <c r="DP43" s="1858"/>
      <c r="DQ43" s="1858"/>
      <c r="DR43" s="1858"/>
      <c r="DS43" s="1858"/>
      <c r="DT43" s="1858"/>
      <c r="DU43" s="1858"/>
      <c r="DV43" s="1858"/>
      <c r="DW43" s="1858"/>
      <c r="DX43" s="1858"/>
      <c r="DY43" s="1858"/>
      <c r="DZ43" s="1858"/>
      <c r="EA43" s="1858"/>
      <c r="EB43" s="1858"/>
      <c r="EC43" s="1858"/>
      <c r="ED43" s="1858"/>
      <c r="EE43" s="1858"/>
      <c r="EF43" s="1858"/>
      <c r="EG43" s="1858"/>
      <c r="EH43" s="1858"/>
      <c r="EI43" s="1858"/>
      <c r="EJ43" s="1858"/>
      <c r="EK43" s="1858"/>
      <c r="EL43" s="1858"/>
      <c r="EM43" s="1858"/>
      <c r="EN43" s="1858"/>
      <c r="EO43" s="1858"/>
      <c r="EP43" s="1858"/>
      <c r="EQ43" s="1858"/>
      <c r="ER43" s="1858"/>
      <c r="ES43" s="1858"/>
      <c r="ET43" s="1858"/>
      <c r="EU43" s="1858"/>
      <c r="EV43" s="1858"/>
      <c r="EW43" s="1858"/>
      <c r="EX43" s="1858"/>
      <c r="EY43" s="1858"/>
      <c r="EZ43" s="1858"/>
      <c r="FA43" s="1858"/>
      <c r="FB43" s="1858"/>
      <c r="FC43" s="1858"/>
      <c r="FD43" s="1858"/>
      <c r="FE43" s="1858"/>
      <c r="FF43" s="1858"/>
      <c r="FG43" s="1858"/>
      <c r="FH43" s="1858"/>
      <c r="FI43" s="1858"/>
      <c r="FJ43" s="1858"/>
      <c r="FK43" s="1858"/>
      <c r="FL43" s="1858"/>
      <c r="FM43" s="1858"/>
      <c r="FN43" s="1858"/>
      <c r="FO43" s="1858"/>
      <c r="FP43" s="1858"/>
      <c r="FQ43" s="1858"/>
      <c r="FR43" s="1858"/>
      <c r="FS43" s="1858"/>
      <c r="FT43" s="1858"/>
      <c r="FU43" s="1858"/>
      <c r="FV43" s="1858"/>
      <c r="FW43" s="1858"/>
      <c r="FX43" s="1858"/>
      <c r="FY43" s="1858"/>
      <c r="FZ43" s="1858"/>
      <c r="GA43" s="1858"/>
      <c r="GB43" s="1858"/>
      <c r="GC43" s="1858"/>
      <c r="GD43" s="1858"/>
      <c r="GE43" s="1858"/>
      <c r="GF43" s="1858"/>
      <c r="GG43" s="1858"/>
      <c r="GH43" s="1858"/>
      <c r="GI43" s="1858"/>
      <c r="GJ43" s="1858"/>
      <c r="GK43" s="1858"/>
      <c r="GL43" s="1858"/>
      <c r="GM43" s="1858"/>
      <c r="GN43" s="1858"/>
      <c r="GO43" s="1858"/>
      <c r="GP43" s="1858"/>
      <c r="GQ43" s="1858"/>
      <c r="GR43" s="1858"/>
      <c r="GS43" s="1858"/>
      <c r="GT43" s="1858"/>
      <c r="GU43" s="1858"/>
      <c r="GV43" s="1858"/>
      <c r="GW43" s="1858"/>
      <c r="GX43" s="1858"/>
      <c r="GY43" s="1858"/>
      <c r="GZ43" s="1858"/>
      <c r="HA43" s="1858"/>
      <c r="HB43" s="1858"/>
      <c r="HC43" s="1858"/>
      <c r="HD43" s="1858"/>
      <c r="HE43" s="1858"/>
      <c r="HF43" s="1858"/>
      <c r="HG43" s="1858"/>
      <c r="HH43" s="1858"/>
      <c r="HI43" s="1858"/>
      <c r="HJ43" s="1858"/>
      <c r="HK43" s="1858"/>
      <c r="HL43" s="1858"/>
      <c r="HM43" s="1858"/>
      <c r="HN43" s="1858"/>
      <c r="HO43" s="1858"/>
      <c r="HP43" s="1858"/>
      <c r="HQ43" s="1858"/>
      <c r="HR43" s="1858"/>
      <c r="HS43" s="1858"/>
      <c r="HT43" s="1858"/>
      <c r="HU43" s="1858"/>
      <c r="HV43" s="1858"/>
      <c r="HW43" s="1858"/>
      <c r="HX43" s="1858"/>
      <c r="HY43" s="1858"/>
      <c r="HZ43" s="1858"/>
      <c r="IA43" s="1858"/>
      <c r="IB43" s="1858"/>
      <c r="IC43" s="1858"/>
      <c r="ID43" s="1858"/>
      <c r="IE43" s="1858"/>
      <c r="IF43" s="1858"/>
      <c r="IG43" s="1858"/>
      <c r="IH43" s="1858"/>
      <c r="II43" s="1858"/>
      <c r="IJ43" s="1858"/>
      <c r="IK43" s="1858"/>
      <c r="IL43" s="1858"/>
      <c r="IM43" s="1858"/>
      <c r="IN43" s="1858"/>
      <c r="IO43" s="1858"/>
      <c r="IP43" s="1858"/>
      <c r="IQ43" s="1858"/>
      <c r="IR43" s="1858"/>
      <c r="IS43" s="1858"/>
      <c r="IT43" s="1858"/>
      <c r="IU43" s="1858"/>
      <c r="IV43" s="1858"/>
    </row>
    <row r="44" spans="1:256" s="42" customFormat="1" ht="15.75" customHeight="1" x14ac:dyDescent="0.25">
      <c r="A44" s="180"/>
      <c r="B44" s="583">
        <v>641</v>
      </c>
      <c r="C44" s="569" t="s">
        <v>457</v>
      </c>
      <c r="D44" s="478">
        <f>Data!B46</f>
        <v>0</v>
      </c>
      <c r="E44" s="478">
        <f>Data!C46</f>
        <v>0</v>
      </c>
      <c r="F44" s="478">
        <f>Data!D46</f>
        <v>0</v>
      </c>
      <c r="G44" s="480">
        <f>Data!E46</f>
        <v>0</v>
      </c>
      <c r="H44" s="476">
        <v>0</v>
      </c>
      <c r="I44" s="478">
        <f>IF(Data!$H$5="Actual", SUM(D44+E44+F44+G44)/4, SUM(D44+E44+F44)/3)</f>
        <v>0</v>
      </c>
      <c r="J44" s="628" t="str">
        <f t="shared" si="6"/>
        <v/>
      </c>
      <c r="K44" s="629" t="str">
        <f t="shared" si="7"/>
        <v/>
      </c>
      <c r="L44" s="180"/>
      <c r="M44" s="180"/>
      <c r="N44" s="1106"/>
      <c r="O44" s="1106"/>
      <c r="P44" s="1106"/>
      <c r="Q44" s="1106"/>
      <c r="R44" s="1106"/>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c r="AN44" s="1858"/>
      <c r="AO44" s="1858"/>
      <c r="AP44" s="1858"/>
      <c r="AQ44" s="1858"/>
      <c r="AR44" s="1858"/>
      <c r="AS44" s="1858"/>
      <c r="AT44" s="1858"/>
      <c r="AU44" s="1858"/>
      <c r="AV44" s="1858"/>
      <c r="AW44" s="1858"/>
      <c r="AX44" s="1858"/>
      <c r="AY44" s="1858"/>
      <c r="AZ44" s="1858"/>
      <c r="BA44" s="1858"/>
      <c r="BB44" s="1858"/>
      <c r="BC44" s="1858"/>
      <c r="BD44" s="1858"/>
      <c r="BE44" s="1858"/>
      <c r="BF44" s="1858"/>
      <c r="BG44" s="1858"/>
      <c r="BH44" s="1858"/>
      <c r="BI44" s="1858"/>
      <c r="BJ44" s="1858"/>
      <c r="BK44" s="1858"/>
      <c r="BL44" s="1858"/>
      <c r="BM44" s="1858"/>
      <c r="BN44" s="1858"/>
      <c r="BO44" s="1858"/>
      <c r="BP44" s="1858"/>
      <c r="BQ44" s="1858"/>
      <c r="BR44" s="1858"/>
      <c r="BS44" s="1858"/>
      <c r="BT44" s="1858"/>
      <c r="BU44" s="1858"/>
      <c r="BV44" s="1858"/>
      <c r="BW44" s="1858"/>
      <c r="BX44" s="1858"/>
      <c r="BY44" s="1858"/>
      <c r="BZ44" s="1858"/>
      <c r="CA44" s="1858"/>
      <c r="CB44" s="1858"/>
      <c r="CC44" s="1858"/>
      <c r="CD44" s="1858"/>
      <c r="CE44" s="1858"/>
      <c r="CF44" s="1858"/>
      <c r="CG44" s="1858"/>
      <c r="CH44" s="1858"/>
      <c r="CI44" s="1858"/>
      <c r="CJ44" s="1858"/>
      <c r="CK44" s="1858"/>
      <c r="CL44" s="1858"/>
      <c r="CM44" s="1858"/>
      <c r="CN44" s="1858"/>
      <c r="CO44" s="1858"/>
      <c r="CP44" s="1858"/>
      <c r="CQ44" s="1858"/>
      <c r="CR44" s="1858"/>
      <c r="CS44" s="1858"/>
      <c r="CT44" s="1858"/>
      <c r="CU44" s="1858"/>
      <c r="CV44" s="1858"/>
      <c r="CW44" s="1858"/>
      <c r="CX44" s="1858"/>
      <c r="CY44" s="1858"/>
      <c r="CZ44" s="1858"/>
      <c r="DA44" s="1858"/>
      <c r="DB44" s="1858"/>
      <c r="DC44" s="1858"/>
      <c r="DD44" s="1858"/>
      <c r="DE44" s="1858"/>
      <c r="DF44" s="1858"/>
      <c r="DG44" s="1858"/>
      <c r="DH44" s="1858"/>
      <c r="DI44" s="1858"/>
      <c r="DJ44" s="1858"/>
      <c r="DK44" s="1858"/>
      <c r="DL44" s="1858"/>
      <c r="DM44" s="1858"/>
      <c r="DN44" s="1858"/>
      <c r="DO44" s="1858"/>
      <c r="DP44" s="1858"/>
      <c r="DQ44" s="1858"/>
      <c r="DR44" s="1858"/>
      <c r="DS44" s="1858"/>
      <c r="DT44" s="1858"/>
      <c r="DU44" s="1858"/>
      <c r="DV44" s="1858"/>
      <c r="DW44" s="1858"/>
      <c r="DX44" s="1858"/>
      <c r="DY44" s="1858"/>
      <c r="DZ44" s="1858"/>
      <c r="EA44" s="1858"/>
      <c r="EB44" s="1858"/>
      <c r="EC44" s="1858"/>
      <c r="ED44" s="1858"/>
      <c r="EE44" s="1858"/>
      <c r="EF44" s="1858"/>
      <c r="EG44" s="1858"/>
      <c r="EH44" s="1858"/>
      <c r="EI44" s="1858"/>
      <c r="EJ44" s="1858"/>
      <c r="EK44" s="1858"/>
      <c r="EL44" s="1858"/>
      <c r="EM44" s="1858"/>
      <c r="EN44" s="1858"/>
      <c r="EO44" s="1858"/>
      <c r="EP44" s="1858"/>
      <c r="EQ44" s="1858"/>
      <c r="ER44" s="1858"/>
      <c r="ES44" s="1858"/>
      <c r="ET44" s="1858"/>
      <c r="EU44" s="1858"/>
      <c r="EV44" s="1858"/>
      <c r="EW44" s="1858"/>
      <c r="EX44" s="1858"/>
      <c r="EY44" s="1858"/>
      <c r="EZ44" s="1858"/>
      <c r="FA44" s="1858"/>
      <c r="FB44" s="1858"/>
      <c r="FC44" s="1858"/>
      <c r="FD44" s="1858"/>
      <c r="FE44" s="1858"/>
      <c r="FF44" s="1858"/>
      <c r="FG44" s="1858"/>
      <c r="FH44" s="1858"/>
      <c r="FI44" s="1858"/>
      <c r="FJ44" s="1858"/>
      <c r="FK44" s="1858"/>
      <c r="FL44" s="1858"/>
      <c r="FM44" s="1858"/>
      <c r="FN44" s="1858"/>
      <c r="FO44" s="1858"/>
      <c r="FP44" s="1858"/>
      <c r="FQ44" s="1858"/>
      <c r="FR44" s="1858"/>
      <c r="FS44" s="1858"/>
      <c r="FT44" s="1858"/>
      <c r="FU44" s="1858"/>
      <c r="FV44" s="1858"/>
      <c r="FW44" s="1858"/>
      <c r="FX44" s="1858"/>
      <c r="FY44" s="1858"/>
      <c r="FZ44" s="1858"/>
      <c r="GA44" s="1858"/>
      <c r="GB44" s="1858"/>
      <c r="GC44" s="1858"/>
      <c r="GD44" s="1858"/>
      <c r="GE44" s="1858"/>
      <c r="GF44" s="1858"/>
      <c r="GG44" s="1858"/>
      <c r="GH44" s="1858"/>
      <c r="GI44" s="1858"/>
      <c r="GJ44" s="1858"/>
      <c r="GK44" s="1858"/>
      <c r="GL44" s="1858"/>
      <c r="GM44" s="1858"/>
      <c r="GN44" s="1858"/>
      <c r="GO44" s="1858"/>
      <c r="GP44" s="1858"/>
      <c r="GQ44" s="1858"/>
      <c r="GR44" s="1858"/>
      <c r="GS44" s="1858"/>
      <c r="GT44" s="1858"/>
      <c r="GU44" s="1858"/>
      <c r="GV44" s="1858"/>
      <c r="GW44" s="1858"/>
      <c r="GX44" s="1858"/>
      <c r="GY44" s="1858"/>
      <c r="GZ44" s="1858"/>
      <c r="HA44" s="1858"/>
      <c r="HB44" s="1858"/>
      <c r="HC44" s="1858"/>
      <c r="HD44" s="1858"/>
      <c r="HE44" s="1858"/>
      <c r="HF44" s="1858"/>
      <c r="HG44" s="1858"/>
      <c r="HH44" s="1858"/>
      <c r="HI44" s="1858"/>
      <c r="HJ44" s="1858"/>
      <c r="HK44" s="1858"/>
      <c r="HL44" s="1858"/>
      <c r="HM44" s="1858"/>
      <c r="HN44" s="1858"/>
      <c r="HO44" s="1858"/>
      <c r="HP44" s="1858"/>
      <c r="HQ44" s="1858"/>
      <c r="HR44" s="1858"/>
      <c r="HS44" s="1858"/>
      <c r="HT44" s="1858"/>
      <c r="HU44" s="1858"/>
      <c r="HV44" s="1858"/>
      <c r="HW44" s="1858"/>
      <c r="HX44" s="1858"/>
      <c r="HY44" s="1858"/>
      <c r="HZ44" s="1858"/>
      <c r="IA44" s="1858"/>
      <c r="IB44" s="1858"/>
      <c r="IC44" s="1858"/>
      <c r="ID44" s="1858"/>
      <c r="IE44" s="1858"/>
      <c r="IF44" s="1858"/>
      <c r="IG44" s="1858"/>
      <c r="IH44" s="1858"/>
      <c r="II44" s="1858"/>
      <c r="IJ44" s="1858"/>
      <c r="IK44" s="1858"/>
      <c r="IL44" s="1858"/>
      <c r="IM44" s="1858"/>
      <c r="IN44" s="1858"/>
      <c r="IO44" s="1858"/>
      <c r="IP44" s="1858"/>
      <c r="IQ44" s="1858"/>
      <c r="IR44" s="1858"/>
      <c r="IS44" s="1858"/>
      <c r="IT44" s="1858"/>
      <c r="IU44" s="1858"/>
      <c r="IV44" s="1858"/>
    </row>
    <row r="45" spans="1:256" s="42" customFormat="1" ht="15.75" customHeight="1" x14ac:dyDescent="0.25">
      <c r="A45" s="180"/>
      <c r="B45" s="583">
        <v>642</v>
      </c>
      <c r="C45" s="569" t="s">
        <v>753</v>
      </c>
      <c r="D45" s="478">
        <f>Data!B47</f>
        <v>0</v>
      </c>
      <c r="E45" s="478">
        <f>Data!C47</f>
        <v>0</v>
      </c>
      <c r="F45" s="478">
        <f>Data!D47</f>
        <v>0</v>
      </c>
      <c r="G45" s="480">
        <f>Data!E47</f>
        <v>0</v>
      </c>
      <c r="H45" s="476">
        <v>0</v>
      </c>
      <c r="I45" s="478">
        <f>IF(Data!$H$5="Actual", SUM(D45+E45+F45+G45)/4, SUM(D45+E45+F45)/3)</f>
        <v>0</v>
      </c>
      <c r="J45" s="628" t="str">
        <f t="shared" si="6"/>
        <v/>
      </c>
      <c r="K45" s="629" t="str">
        <f t="shared" si="7"/>
        <v/>
      </c>
      <c r="L45" s="180"/>
      <c r="M45" s="180"/>
      <c r="N45" s="1106"/>
      <c r="O45" s="1106"/>
      <c r="P45" s="1106"/>
      <c r="Q45" s="1106"/>
      <c r="R45" s="1106"/>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c r="AN45" s="1858"/>
      <c r="AO45" s="1858"/>
      <c r="AP45" s="1858"/>
      <c r="AQ45" s="1858"/>
      <c r="AR45" s="1858"/>
      <c r="AS45" s="1858"/>
      <c r="AT45" s="1858"/>
      <c r="AU45" s="1858"/>
      <c r="AV45" s="1858"/>
      <c r="AW45" s="1858"/>
      <c r="AX45" s="1858"/>
      <c r="AY45" s="1858"/>
      <c r="AZ45" s="1858"/>
      <c r="BA45" s="1858"/>
      <c r="BB45" s="1858"/>
      <c r="BC45" s="1858"/>
      <c r="BD45" s="1858"/>
      <c r="BE45" s="1858"/>
      <c r="BF45" s="1858"/>
      <c r="BG45" s="1858"/>
      <c r="BH45" s="1858"/>
      <c r="BI45" s="1858"/>
      <c r="BJ45" s="1858"/>
      <c r="BK45" s="1858"/>
      <c r="BL45" s="1858"/>
      <c r="BM45" s="1858"/>
      <c r="BN45" s="1858"/>
      <c r="BO45" s="1858"/>
      <c r="BP45" s="1858"/>
      <c r="BQ45" s="1858"/>
      <c r="BR45" s="1858"/>
      <c r="BS45" s="1858"/>
      <c r="BT45" s="1858"/>
      <c r="BU45" s="1858"/>
      <c r="BV45" s="1858"/>
      <c r="BW45" s="1858"/>
      <c r="BX45" s="1858"/>
      <c r="BY45" s="1858"/>
      <c r="BZ45" s="1858"/>
      <c r="CA45" s="1858"/>
      <c r="CB45" s="1858"/>
      <c r="CC45" s="1858"/>
      <c r="CD45" s="1858"/>
      <c r="CE45" s="1858"/>
      <c r="CF45" s="1858"/>
      <c r="CG45" s="1858"/>
      <c r="CH45" s="1858"/>
      <c r="CI45" s="1858"/>
      <c r="CJ45" s="1858"/>
      <c r="CK45" s="1858"/>
      <c r="CL45" s="1858"/>
      <c r="CM45" s="1858"/>
      <c r="CN45" s="1858"/>
      <c r="CO45" s="1858"/>
      <c r="CP45" s="1858"/>
      <c r="CQ45" s="1858"/>
      <c r="CR45" s="1858"/>
      <c r="CS45" s="1858"/>
      <c r="CT45" s="1858"/>
      <c r="CU45" s="1858"/>
      <c r="CV45" s="1858"/>
      <c r="CW45" s="1858"/>
      <c r="CX45" s="1858"/>
      <c r="CY45" s="1858"/>
      <c r="CZ45" s="1858"/>
      <c r="DA45" s="1858"/>
      <c r="DB45" s="1858"/>
      <c r="DC45" s="1858"/>
      <c r="DD45" s="1858"/>
      <c r="DE45" s="1858"/>
      <c r="DF45" s="1858"/>
      <c r="DG45" s="1858"/>
      <c r="DH45" s="1858"/>
      <c r="DI45" s="1858"/>
      <c r="DJ45" s="1858"/>
      <c r="DK45" s="1858"/>
      <c r="DL45" s="1858"/>
      <c r="DM45" s="1858"/>
      <c r="DN45" s="1858"/>
      <c r="DO45" s="1858"/>
      <c r="DP45" s="1858"/>
      <c r="DQ45" s="1858"/>
      <c r="DR45" s="1858"/>
      <c r="DS45" s="1858"/>
      <c r="DT45" s="1858"/>
      <c r="DU45" s="1858"/>
      <c r="DV45" s="1858"/>
      <c r="DW45" s="1858"/>
      <c r="DX45" s="1858"/>
      <c r="DY45" s="1858"/>
      <c r="DZ45" s="1858"/>
      <c r="EA45" s="1858"/>
      <c r="EB45" s="1858"/>
      <c r="EC45" s="1858"/>
      <c r="ED45" s="1858"/>
      <c r="EE45" s="1858"/>
      <c r="EF45" s="1858"/>
      <c r="EG45" s="1858"/>
      <c r="EH45" s="1858"/>
      <c r="EI45" s="1858"/>
      <c r="EJ45" s="1858"/>
      <c r="EK45" s="1858"/>
      <c r="EL45" s="1858"/>
      <c r="EM45" s="1858"/>
      <c r="EN45" s="1858"/>
      <c r="EO45" s="1858"/>
      <c r="EP45" s="1858"/>
      <c r="EQ45" s="1858"/>
      <c r="ER45" s="1858"/>
      <c r="ES45" s="1858"/>
      <c r="ET45" s="1858"/>
      <c r="EU45" s="1858"/>
      <c r="EV45" s="1858"/>
      <c r="EW45" s="1858"/>
      <c r="EX45" s="1858"/>
      <c r="EY45" s="1858"/>
      <c r="EZ45" s="1858"/>
      <c r="FA45" s="1858"/>
      <c r="FB45" s="1858"/>
      <c r="FC45" s="1858"/>
      <c r="FD45" s="1858"/>
      <c r="FE45" s="1858"/>
      <c r="FF45" s="1858"/>
      <c r="FG45" s="1858"/>
      <c r="FH45" s="1858"/>
      <c r="FI45" s="1858"/>
      <c r="FJ45" s="1858"/>
      <c r="FK45" s="1858"/>
      <c r="FL45" s="1858"/>
      <c r="FM45" s="1858"/>
      <c r="FN45" s="1858"/>
      <c r="FO45" s="1858"/>
      <c r="FP45" s="1858"/>
      <c r="FQ45" s="1858"/>
      <c r="FR45" s="1858"/>
      <c r="FS45" s="1858"/>
      <c r="FT45" s="1858"/>
      <c r="FU45" s="1858"/>
      <c r="FV45" s="1858"/>
      <c r="FW45" s="1858"/>
      <c r="FX45" s="1858"/>
      <c r="FY45" s="1858"/>
      <c r="FZ45" s="1858"/>
      <c r="GA45" s="1858"/>
      <c r="GB45" s="1858"/>
      <c r="GC45" s="1858"/>
      <c r="GD45" s="1858"/>
      <c r="GE45" s="1858"/>
      <c r="GF45" s="1858"/>
      <c r="GG45" s="1858"/>
      <c r="GH45" s="1858"/>
      <c r="GI45" s="1858"/>
      <c r="GJ45" s="1858"/>
      <c r="GK45" s="1858"/>
      <c r="GL45" s="1858"/>
      <c r="GM45" s="1858"/>
      <c r="GN45" s="1858"/>
      <c r="GO45" s="1858"/>
      <c r="GP45" s="1858"/>
      <c r="GQ45" s="1858"/>
      <c r="GR45" s="1858"/>
      <c r="GS45" s="1858"/>
      <c r="GT45" s="1858"/>
      <c r="GU45" s="1858"/>
      <c r="GV45" s="1858"/>
      <c r="GW45" s="1858"/>
      <c r="GX45" s="1858"/>
      <c r="GY45" s="1858"/>
      <c r="GZ45" s="1858"/>
      <c r="HA45" s="1858"/>
      <c r="HB45" s="1858"/>
      <c r="HC45" s="1858"/>
      <c r="HD45" s="1858"/>
      <c r="HE45" s="1858"/>
      <c r="HF45" s="1858"/>
      <c r="HG45" s="1858"/>
      <c r="HH45" s="1858"/>
      <c r="HI45" s="1858"/>
      <c r="HJ45" s="1858"/>
      <c r="HK45" s="1858"/>
      <c r="HL45" s="1858"/>
      <c r="HM45" s="1858"/>
      <c r="HN45" s="1858"/>
      <c r="HO45" s="1858"/>
      <c r="HP45" s="1858"/>
      <c r="HQ45" s="1858"/>
      <c r="HR45" s="1858"/>
      <c r="HS45" s="1858"/>
      <c r="HT45" s="1858"/>
      <c r="HU45" s="1858"/>
      <c r="HV45" s="1858"/>
      <c r="HW45" s="1858"/>
      <c r="HX45" s="1858"/>
      <c r="HY45" s="1858"/>
      <c r="HZ45" s="1858"/>
      <c r="IA45" s="1858"/>
      <c r="IB45" s="1858"/>
      <c r="IC45" s="1858"/>
      <c r="ID45" s="1858"/>
      <c r="IE45" s="1858"/>
      <c r="IF45" s="1858"/>
      <c r="IG45" s="1858"/>
      <c r="IH45" s="1858"/>
      <c r="II45" s="1858"/>
      <c r="IJ45" s="1858"/>
      <c r="IK45" s="1858"/>
      <c r="IL45" s="1858"/>
      <c r="IM45" s="1858"/>
      <c r="IN45" s="1858"/>
      <c r="IO45" s="1858"/>
      <c r="IP45" s="1858"/>
      <c r="IQ45" s="1858"/>
      <c r="IR45" s="1858"/>
      <c r="IS45" s="1858"/>
      <c r="IT45" s="1858"/>
      <c r="IU45" s="1858"/>
      <c r="IV45" s="1858"/>
    </row>
    <row r="46" spans="1:256" s="42" customFormat="1" ht="15.75" customHeight="1" x14ac:dyDescent="0.25">
      <c r="A46" s="180"/>
      <c r="B46" s="583">
        <v>643</v>
      </c>
      <c r="C46" s="569" t="s">
        <v>754</v>
      </c>
      <c r="D46" s="478">
        <f>Data!B48</f>
        <v>0</v>
      </c>
      <c r="E46" s="478">
        <f>Data!C48</f>
        <v>0</v>
      </c>
      <c r="F46" s="478">
        <f>Data!D48</f>
        <v>0</v>
      </c>
      <c r="G46" s="480">
        <f>Data!E48</f>
        <v>0</v>
      </c>
      <c r="H46" s="476">
        <v>0</v>
      </c>
      <c r="I46" s="478">
        <f>IF(Data!$H$5="Actual", SUM(D46+E46+F46+G46)/4, SUM(D46+E46+F46)/3)</f>
        <v>0</v>
      </c>
      <c r="J46" s="628" t="str">
        <f t="shared" si="6"/>
        <v/>
      </c>
      <c r="K46" s="629" t="str">
        <f t="shared" si="7"/>
        <v/>
      </c>
      <c r="L46" s="180"/>
      <c r="M46" s="180"/>
      <c r="N46" s="1106"/>
      <c r="O46" s="1106"/>
      <c r="P46" s="1106"/>
      <c r="Q46" s="1106"/>
      <c r="R46" s="1106"/>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c r="AN46" s="1858"/>
      <c r="AO46" s="1858"/>
      <c r="AP46" s="1858"/>
      <c r="AQ46" s="1858"/>
      <c r="AR46" s="1858"/>
      <c r="AS46" s="1858"/>
      <c r="AT46" s="1858"/>
      <c r="AU46" s="1858"/>
      <c r="AV46" s="1858"/>
      <c r="AW46" s="1858"/>
      <c r="AX46" s="1858"/>
      <c r="AY46" s="1858"/>
      <c r="AZ46" s="1858"/>
      <c r="BA46" s="1858"/>
      <c r="BB46" s="1858"/>
      <c r="BC46" s="1858"/>
      <c r="BD46" s="1858"/>
      <c r="BE46" s="1858"/>
      <c r="BF46" s="1858"/>
      <c r="BG46" s="1858"/>
      <c r="BH46" s="1858"/>
      <c r="BI46" s="1858"/>
      <c r="BJ46" s="1858"/>
      <c r="BK46" s="1858"/>
      <c r="BL46" s="1858"/>
      <c r="BM46" s="1858"/>
      <c r="BN46" s="1858"/>
      <c r="BO46" s="1858"/>
      <c r="BP46" s="1858"/>
      <c r="BQ46" s="1858"/>
      <c r="BR46" s="1858"/>
      <c r="BS46" s="1858"/>
      <c r="BT46" s="1858"/>
      <c r="BU46" s="1858"/>
      <c r="BV46" s="1858"/>
      <c r="BW46" s="1858"/>
      <c r="BX46" s="1858"/>
      <c r="BY46" s="1858"/>
      <c r="BZ46" s="1858"/>
      <c r="CA46" s="1858"/>
      <c r="CB46" s="1858"/>
      <c r="CC46" s="1858"/>
      <c r="CD46" s="1858"/>
      <c r="CE46" s="1858"/>
      <c r="CF46" s="1858"/>
      <c r="CG46" s="1858"/>
      <c r="CH46" s="1858"/>
      <c r="CI46" s="1858"/>
      <c r="CJ46" s="1858"/>
      <c r="CK46" s="1858"/>
      <c r="CL46" s="1858"/>
      <c r="CM46" s="1858"/>
      <c r="CN46" s="1858"/>
      <c r="CO46" s="1858"/>
      <c r="CP46" s="1858"/>
      <c r="CQ46" s="1858"/>
      <c r="CR46" s="1858"/>
      <c r="CS46" s="1858"/>
      <c r="CT46" s="1858"/>
      <c r="CU46" s="1858"/>
      <c r="CV46" s="1858"/>
      <c r="CW46" s="1858"/>
      <c r="CX46" s="1858"/>
      <c r="CY46" s="1858"/>
      <c r="CZ46" s="1858"/>
      <c r="DA46" s="1858"/>
      <c r="DB46" s="1858"/>
      <c r="DC46" s="1858"/>
      <c r="DD46" s="1858"/>
      <c r="DE46" s="1858"/>
      <c r="DF46" s="1858"/>
      <c r="DG46" s="1858"/>
      <c r="DH46" s="1858"/>
      <c r="DI46" s="1858"/>
      <c r="DJ46" s="1858"/>
      <c r="DK46" s="1858"/>
      <c r="DL46" s="1858"/>
      <c r="DM46" s="1858"/>
      <c r="DN46" s="1858"/>
      <c r="DO46" s="1858"/>
      <c r="DP46" s="1858"/>
      <c r="DQ46" s="1858"/>
      <c r="DR46" s="1858"/>
      <c r="DS46" s="1858"/>
      <c r="DT46" s="1858"/>
      <c r="DU46" s="1858"/>
      <c r="DV46" s="1858"/>
      <c r="DW46" s="1858"/>
      <c r="DX46" s="1858"/>
      <c r="DY46" s="1858"/>
      <c r="DZ46" s="1858"/>
      <c r="EA46" s="1858"/>
      <c r="EB46" s="1858"/>
      <c r="EC46" s="1858"/>
      <c r="ED46" s="1858"/>
      <c r="EE46" s="1858"/>
      <c r="EF46" s="1858"/>
      <c r="EG46" s="1858"/>
      <c r="EH46" s="1858"/>
      <c r="EI46" s="1858"/>
      <c r="EJ46" s="1858"/>
      <c r="EK46" s="1858"/>
      <c r="EL46" s="1858"/>
      <c r="EM46" s="1858"/>
      <c r="EN46" s="1858"/>
      <c r="EO46" s="1858"/>
      <c r="EP46" s="1858"/>
      <c r="EQ46" s="1858"/>
      <c r="ER46" s="1858"/>
      <c r="ES46" s="1858"/>
      <c r="ET46" s="1858"/>
      <c r="EU46" s="1858"/>
      <c r="EV46" s="1858"/>
      <c r="EW46" s="1858"/>
      <c r="EX46" s="1858"/>
      <c r="EY46" s="1858"/>
      <c r="EZ46" s="1858"/>
      <c r="FA46" s="1858"/>
      <c r="FB46" s="1858"/>
      <c r="FC46" s="1858"/>
      <c r="FD46" s="1858"/>
      <c r="FE46" s="1858"/>
      <c r="FF46" s="1858"/>
      <c r="FG46" s="1858"/>
      <c r="FH46" s="1858"/>
      <c r="FI46" s="1858"/>
      <c r="FJ46" s="1858"/>
      <c r="FK46" s="1858"/>
      <c r="FL46" s="1858"/>
      <c r="FM46" s="1858"/>
      <c r="FN46" s="1858"/>
      <c r="FO46" s="1858"/>
      <c r="FP46" s="1858"/>
      <c r="FQ46" s="1858"/>
      <c r="FR46" s="1858"/>
      <c r="FS46" s="1858"/>
      <c r="FT46" s="1858"/>
      <c r="FU46" s="1858"/>
      <c r="FV46" s="1858"/>
      <c r="FW46" s="1858"/>
      <c r="FX46" s="1858"/>
      <c r="FY46" s="1858"/>
      <c r="FZ46" s="1858"/>
      <c r="GA46" s="1858"/>
      <c r="GB46" s="1858"/>
      <c r="GC46" s="1858"/>
      <c r="GD46" s="1858"/>
      <c r="GE46" s="1858"/>
      <c r="GF46" s="1858"/>
      <c r="GG46" s="1858"/>
      <c r="GH46" s="1858"/>
      <c r="GI46" s="1858"/>
      <c r="GJ46" s="1858"/>
      <c r="GK46" s="1858"/>
      <c r="GL46" s="1858"/>
      <c r="GM46" s="1858"/>
      <c r="GN46" s="1858"/>
      <c r="GO46" s="1858"/>
      <c r="GP46" s="1858"/>
      <c r="GQ46" s="1858"/>
      <c r="GR46" s="1858"/>
      <c r="GS46" s="1858"/>
      <c r="GT46" s="1858"/>
      <c r="GU46" s="1858"/>
      <c r="GV46" s="1858"/>
      <c r="GW46" s="1858"/>
      <c r="GX46" s="1858"/>
      <c r="GY46" s="1858"/>
      <c r="GZ46" s="1858"/>
      <c r="HA46" s="1858"/>
      <c r="HB46" s="1858"/>
      <c r="HC46" s="1858"/>
      <c r="HD46" s="1858"/>
      <c r="HE46" s="1858"/>
      <c r="HF46" s="1858"/>
      <c r="HG46" s="1858"/>
      <c r="HH46" s="1858"/>
      <c r="HI46" s="1858"/>
      <c r="HJ46" s="1858"/>
      <c r="HK46" s="1858"/>
      <c r="HL46" s="1858"/>
      <c r="HM46" s="1858"/>
      <c r="HN46" s="1858"/>
      <c r="HO46" s="1858"/>
      <c r="HP46" s="1858"/>
      <c r="HQ46" s="1858"/>
      <c r="HR46" s="1858"/>
      <c r="HS46" s="1858"/>
      <c r="HT46" s="1858"/>
      <c r="HU46" s="1858"/>
      <c r="HV46" s="1858"/>
      <c r="HW46" s="1858"/>
      <c r="HX46" s="1858"/>
      <c r="HY46" s="1858"/>
      <c r="HZ46" s="1858"/>
      <c r="IA46" s="1858"/>
      <c r="IB46" s="1858"/>
      <c r="IC46" s="1858"/>
      <c r="ID46" s="1858"/>
      <c r="IE46" s="1858"/>
      <c r="IF46" s="1858"/>
      <c r="IG46" s="1858"/>
      <c r="IH46" s="1858"/>
      <c r="II46" s="1858"/>
      <c r="IJ46" s="1858"/>
      <c r="IK46" s="1858"/>
      <c r="IL46" s="1858"/>
      <c r="IM46" s="1858"/>
      <c r="IN46" s="1858"/>
      <c r="IO46" s="1858"/>
      <c r="IP46" s="1858"/>
      <c r="IQ46" s="1858"/>
      <c r="IR46" s="1858"/>
      <c r="IS46" s="1858"/>
      <c r="IT46" s="1858"/>
      <c r="IU46" s="1858"/>
      <c r="IV46" s="1858"/>
    </row>
    <row r="47" spans="1:256" s="42" customFormat="1" ht="15.75" customHeight="1" x14ac:dyDescent="0.25">
      <c r="A47" s="180"/>
      <c r="B47" s="583">
        <v>644</v>
      </c>
      <c r="C47" s="569" t="s">
        <v>755</v>
      </c>
      <c r="D47" s="478">
        <f>Data!B49</f>
        <v>0</v>
      </c>
      <c r="E47" s="478">
        <f>Data!C49</f>
        <v>0</v>
      </c>
      <c r="F47" s="478">
        <f>Data!D49</f>
        <v>0</v>
      </c>
      <c r="G47" s="480">
        <f>Data!E49</f>
        <v>0</v>
      </c>
      <c r="H47" s="476">
        <v>0</v>
      </c>
      <c r="I47" s="478">
        <f>IF(Data!$H$5="Actual", SUM(D47+E47+F47+G47)/4, SUM(D47+E47+F47)/3)</f>
        <v>0</v>
      </c>
      <c r="J47" s="628" t="str">
        <f t="shared" si="6"/>
        <v/>
      </c>
      <c r="K47" s="629" t="str">
        <f t="shared" si="7"/>
        <v/>
      </c>
      <c r="L47" s="180"/>
      <c r="M47" s="180"/>
      <c r="N47" s="1106"/>
      <c r="O47" s="1106"/>
      <c r="P47" s="1106"/>
      <c r="Q47" s="1106"/>
      <c r="R47" s="1106"/>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c r="AN47" s="1858"/>
      <c r="AO47" s="1858"/>
      <c r="AP47" s="1858"/>
      <c r="AQ47" s="1858"/>
      <c r="AR47" s="1858"/>
      <c r="AS47" s="1858"/>
      <c r="AT47" s="1858"/>
      <c r="AU47" s="1858"/>
      <c r="AV47" s="1858"/>
      <c r="AW47" s="1858"/>
      <c r="AX47" s="1858"/>
      <c r="AY47" s="1858"/>
      <c r="AZ47" s="1858"/>
      <c r="BA47" s="1858"/>
      <c r="BB47" s="1858"/>
      <c r="BC47" s="1858"/>
      <c r="BD47" s="1858"/>
      <c r="BE47" s="1858"/>
      <c r="BF47" s="1858"/>
      <c r="BG47" s="1858"/>
      <c r="BH47" s="1858"/>
      <c r="BI47" s="1858"/>
      <c r="BJ47" s="1858"/>
      <c r="BK47" s="1858"/>
      <c r="BL47" s="1858"/>
      <c r="BM47" s="1858"/>
      <c r="BN47" s="1858"/>
      <c r="BO47" s="1858"/>
      <c r="BP47" s="1858"/>
      <c r="BQ47" s="1858"/>
      <c r="BR47" s="1858"/>
      <c r="BS47" s="1858"/>
      <c r="BT47" s="1858"/>
      <c r="BU47" s="1858"/>
      <c r="BV47" s="1858"/>
      <c r="BW47" s="1858"/>
      <c r="BX47" s="1858"/>
      <c r="BY47" s="1858"/>
      <c r="BZ47" s="1858"/>
      <c r="CA47" s="1858"/>
      <c r="CB47" s="1858"/>
      <c r="CC47" s="1858"/>
      <c r="CD47" s="1858"/>
      <c r="CE47" s="1858"/>
      <c r="CF47" s="1858"/>
      <c r="CG47" s="1858"/>
      <c r="CH47" s="1858"/>
      <c r="CI47" s="1858"/>
      <c r="CJ47" s="1858"/>
      <c r="CK47" s="1858"/>
      <c r="CL47" s="1858"/>
      <c r="CM47" s="1858"/>
      <c r="CN47" s="1858"/>
      <c r="CO47" s="1858"/>
      <c r="CP47" s="1858"/>
      <c r="CQ47" s="1858"/>
      <c r="CR47" s="1858"/>
      <c r="CS47" s="1858"/>
      <c r="CT47" s="1858"/>
      <c r="CU47" s="1858"/>
      <c r="CV47" s="1858"/>
      <c r="CW47" s="1858"/>
      <c r="CX47" s="1858"/>
      <c r="CY47" s="1858"/>
      <c r="CZ47" s="1858"/>
      <c r="DA47" s="1858"/>
      <c r="DB47" s="1858"/>
      <c r="DC47" s="1858"/>
      <c r="DD47" s="1858"/>
      <c r="DE47" s="1858"/>
      <c r="DF47" s="1858"/>
      <c r="DG47" s="1858"/>
      <c r="DH47" s="1858"/>
      <c r="DI47" s="1858"/>
      <c r="DJ47" s="1858"/>
      <c r="DK47" s="1858"/>
      <c r="DL47" s="1858"/>
      <c r="DM47" s="1858"/>
      <c r="DN47" s="1858"/>
      <c r="DO47" s="1858"/>
      <c r="DP47" s="1858"/>
      <c r="DQ47" s="1858"/>
      <c r="DR47" s="1858"/>
      <c r="DS47" s="1858"/>
      <c r="DT47" s="1858"/>
      <c r="DU47" s="1858"/>
      <c r="DV47" s="1858"/>
      <c r="DW47" s="1858"/>
      <c r="DX47" s="1858"/>
      <c r="DY47" s="1858"/>
      <c r="DZ47" s="1858"/>
      <c r="EA47" s="1858"/>
      <c r="EB47" s="1858"/>
      <c r="EC47" s="1858"/>
      <c r="ED47" s="1858"/>
      <c r="EE47" s="1858"/>
      <c r="EF47" s="1858"/>
      <c r="EG47" s="1858"/>
      <c r="EH47" s="1858"/>
      <c r="EI47" s="1858"/>
      <c r="EJ47" s="1858"/>
      <c r="EK47" s="1858"/>
      <c r="EL47" s="1858"/>
      <c r="EM47" s="1858"/>
      <c r="EN47" s="1858"/>
      <c r="EO47" s="1858"/>
      <c r="EP47" s="1858"/>
      <c r="EQ47" s="1858"/>
      <c r="ER47" s="1858"/>
      <c r="ES47" s="1858"/>
      <c r="ET47" s="1858"/>
      <c r="EU47" s="1858"/>
      <c r="EV47" s="1858"/>
      <c r="EW47" s="1858"/>
      <c r="EX47" s="1858"/>
      <c r="EY47" s="1858"/>
      <c r="EZ47" s="1858"/>
      <c r="FA47" s="1858"/>
      <c r="FB47" s="1858"/>
      <c r="FC47" s="1858"/>
      <c r="FD47" s="1858"/>
      <c r="FE47" s="1858"/>
      <c r="FF47" s="1858"/>
      <c r="FG47" s="1858"/>
      <c r="FH47" s="1858"/>
      <c r="FI47" s="1858"/>
      <c r="FJ47" s="1858"/>
      <c r="FK47" s="1858"/>
      <c r="FL47" s="1858"/>
      <c r="FM47" s="1858"/>
      <c r="FN47" s="1858"/>
      <c r="FO47" s="1858"/>
      <c r="FP47" s="1858"/>
      <c r="FQ47" s="1858"/>
      <c r="FR47" s="1858"/>
      <c r="FS47" s="1858"/>
      <c r="FT47" s="1858"/>
      <c r="FU47" s="1858"/>
      <c r="FV47" s="1858"/>
      <c r="FW47" s="1858"/>
      <c r="FX47" s="1858"/>
      <c r="FY47" s="1858"/>
      <c r="FZ47" s="1858"/>
      <c r="GA47" s="1858"/>
      <c r="GB47" s="1858"/>
      <c r="GC47" s="1858"/>
      <c r="GD47" s="1858"/>
      <c r="GE47" s="1858"/>
      <c r="GF47" s="1858"/>
      <c r="GG47" s="1858"/>
      <c r="GH47" s="1858"/>
      <c r="GI47" s="1858"/>
      <c r="GJ47" s="1858"/>
      <c r="GK47" s="1858"/>
      <c r="GL47" s="1858"/>
      <c r="GM47" s="1858"/>
      <c r="GN47" s="1858"/>
      <c r="GO47" s="1858"/>
      <c r="GP47" s="1858"/>
      <c r="GQ47" s="1858"/>
      <c r="GR47" s="1858"/>
      <c r="GS47" s="1858"/>
      <c r="GT47" s="1858"/>
      <c r="GU47" s="1858"/>
      <c r="GV47" s="1858"/>
      <c r="GW47" s="1858"/>
      <c r="GX47" s="1858"/>
      <c r="GY47" s="1858"/>
      <c r="GZ47" s="1858"/>
      <c r="HA47" s="1858"/>
      <c r="HB47" s="1858"/>
      <c r="HC47" s="1858"/>
      <c r="HD47" s="1858"/>
      <c r="HE47" s="1858"/>
      <c r="HF47" s="1858"/>
      <c r="HG47" s="1858"/>
      <c r="HH47" s="1858"/>
      <c r="HI47" s="1858"/>
      <c r="HJ47" s="1858"/>
      <c r="HK47" s="1858"/>
      <c r="HL47" s="1858"/>
      <c r="HM47" s="1858"/>
      <c r="HN47" s="1858"/>
      <c r="HO47" s="1858"/>
      <c r="HP47" s="1858"/>
      <c r="HQ47" s="1858"/>
      <c r="HR47" s="1858"/>
      <c r="HS47" s="1858"/>
      <c r="HT47" s="1858"/>
      <c r="HU47" s="1858"/>
      <c r="HV47" s="1858"/>
      <c r="HW47" s="1858"/>
      <c r="HX47" s="1858"/>
      <c r="HY47" s="1858"/>
      <c r="HZ47" s="1858"/>
      <c r="IA47" s="1858"/>
      <c r="IB47" s="1858"/>
      <c r="IC47" s="1858"/>
      <c r="ID47" s="1858"/>
      <c r="IE47" s="1858"/>
      <c r="IF47" s="1858"/>
      <c r="IG47" s="1858"/>
      <c r="IH47" s="1858"/>
      <c r="II47" s="1858"/>
      <c r="IJ47" s="1858"/>
      <c r="IK47" s="1858"/>
      <c r="IL47" s="1858"/>
      <c r="IM47" s="1858"/>
      <c r="IN47" s="1858"/>
      <c r="IO47" s="1858"/>
      <c r="IP47" s="1858"/>
      <c r="IQ47" s="1858"/>
      <c r="IR47" s="1858"/>
      <c r="IS47" s="1858"/>
      <c r="IT47" s="1858"/>
      <c r="IU47" s="1858"/>
      <c r="IV47" s="1858"/>
    </row>
    <row r="48" spans="1:256" s="42" customFormat="1" ht="15.75" customHeight="1" x14ac:dyDescent="0.25">
      <c r="A48" s="180"/>
      <c r="B48" s="583">
        <v>650</v>
      </c>
      <c r="C48" s="477" t="s">
        <v>756</v>
      </c>
      <c r="D48" s="478">
        <f>Data!B50</f>
        <v>0</v>
      </c>
      <c r="E48" s="478">
        <f>Data!C50</f>
        <v>0</v>
      </c>
      <c r="F48" s="478">
        <f>Data!D50</f>
        <v>0</v>
      </c>
      <c r="G48" s="480">
        <f>Data!E50</f>
        <v>0</v>
      </c>
      <c r="H48" s="476">
        <v>0</v>
      </c>
      <c r="I48" s="478">
        <f>IF(Data!$H$5="Actual", SUM(D48+E48+F48+G48)/4, SUM(D48+E48+F48)/3)</f>
        <v>0</v>
      </c>
      <c r="J48" s="628" t="str">
        <f t="shared" si="6"/>
        <v/>
      </c>
      <c r="K48" s="629" t="str">
        <f t="shared" si="7"/>
        <v/>
      </c>
      <c r="L48" s="180"/>
      <c r="M48" s="180"/>
      <c r="N48" s="1106"/>
      <c r="O48" s="1106"/>
      <c r="P48" s="1106"/>
      <c r="Q48" s="1106"/>
      <c r="R48" s="1106"/>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c r="AN48" s="1858"/>
      <c r="AO48" s="1858"/>
      <c r="AP48" s="1858"/>
      <c r="AQ48" s="1858"/>
      <c r="AR48" s="1858"/>
      <c r="AS48" s="1858"/>
      <c r="AT48" s="1858"/>
      <c r="AU48" s="1858"/>
      <c r="AV48" s="1858"/>
      <c r="AW48" s="1858"/>
      <c r="AX48" s="1858"/>
      <c r="AY48" s="1858"/>
      <c r="AZ48" s="1858"/>
      <c r="BA48" s="1858"/>
      <c r="BB48" s="1858"/>
      <c r="BC48" s="1858"/>
      <c r="BD48" s="1858"/>
      <c r="BE48" s="1858"/>
      <c r="BF48" s="1858"/>
      <c r="BG48" s="1858"/>
      <c r="BH48" s="1858"/>
      <c r="BI48" s="1858"/>
      <c r="BJ48" s="1858"/>
      <c r="BK48" s="1858"/>
      <c r="BL48" s="1858"/>
      <c r="BM48" s="1858"/>
      <c r="BN48" s="1858"/>
      <c r="BO48" s="1858"/>
      <c r="BP48" s="1858"/>
      <c r="BQ48" s="1858"/>
      <c r="BR48" s="1858"/>
      <c r="BS48" s="1858"/>
      <c r="BT48" s="1858"/>
      <c r="BU48" s="1858"/>
      <c r="BV48" s="1858"/>
      <c r="BW48" s="1858"/>
      <c r="BX48" s="1858"/>
      <c r="BY48" s="1858"/>
      <c r="BZ48" s="1858"/>
      <c r="CA48" s="1858"/>
      <c r="CB48" s="1858"/>
      <c r="CC48" s="1858"/>
      <c r="CD48" s="1858"/>
      <c r="CE48" s="1858"/>
      <c r="CF48" s="1858"/>
      <c r="CG48" s="1858"/>
      <c r="CH48" s="1858"/>
      <c r="CI48" s="1858"/>
      <c r="CJ48" s="1858"/>
      <c r="CK48" s="1858"/>
      <c r="CL48" s="1858"/>
      <c r="CM48" s="1858"/>
      <c r="CN48" s="1858"/>
      <c r="CO48" s="1858"/>
      <c r="CP48" s="1858"/>
      <c r="CQ48" s="1858"/>
      <c r="CR48" s="1858"/>
      <c r="CS48" s="1858"/>
      <c r="CT48" s="1858"/>
      <c r="CU48" s="1858"/>
      <c r="CV48" s="1858"/>
      <c r="CW48" s="1858"/>
      <c r="CX48" s="1858"/>
      <c r="CY48" s="1858"/>
      <c r="CZ48" s="1858"/>
      <c r="DA48" s="1858"/>
      <c r="DB48" s="1858"/>
      <c r="DC48" s="1858"/>
      <c r="DD48" s="1858"/>
      <c r="DE48" s="1858"/>
      <c r="DF48" s="1858"/>
      <c r="DG48" s="1858"/>
      <c r="DH48" s="1858"/>
      <c r="DI48" s="1858"/>
      <c r="DJ48" s="1858"/>
      <c r="DK48" s="1858"/>
      <c r="DL48" s="1858"/>
      <c r="DM48" s="1858"/>
      <c r="DN48" s="1858"/>
      <c r="DO48" s="1858"/>
      <c r="DP48" s="1858"/>
      <c r="DQ48" s="1858"/>
      <c r="DR48" s="1858"/>
      <c r="DS48" s="1858"/>
      <c r="DT48" s="1858"/>
      <c r="DU48" s="1858"/>
      <c r="DV48" s="1858"/>
      <c r="DW48" s="1858"/>
      <c r="DX48" s="1858"/>
      <c r="DY48" s="1858"/>
      <c r="DZ48" s="1858"/>
      <c r="EA48" s="1858"/>
      <c r="EB48" s="1858"/>
      <c r="EC48" s="1858"/>
      <c r="ED48" s="1858"/>
      <c r="EE48" s="1858"/>
      <c r="EF48" s="1858"/>
      <c r="EG48" s="1858"/>
      <c r="EH48" s="1858"/>
      <c r="EI48" s="1858"/>
      <c r="EJ48" s="1858"/>
      <c r="EK48" s="1858"/>
      <c r="EL48" s="1858"/>
      <c r="EM48" s="1858"/>
      <c r="EN48" s="1858"/>
      <c r="EO48" s="1858"/>
      <c r="EP48" s="1858"/>
      <c r="EQ48" s="1858"/>
      <c r="ER48" s="1858"/>
      <c r="ES48" s="1858"/>
      <c r="ET48" s="1858"/>
      <c r="EU48" s="1858"/>
      <c r="EV48" s="1858"/>
      <c r="EW48" s="1858"/>
      <c r="EX48" s="1858"/>
      <c r="EY48" s="1858"/>
      <c r="EZ48" s="1858"/>
      <c r="FA48" s="1858"/>
      <c r="FB48" s="1858"/>
      <c r="FC48" s="1858"/>
      <c r="FD48" s="1858"/>
      <c r="FE48" s="1858"/>
      <c r="FF48" s="1858"/>
      <c r="FG48" s="1858"/>
      <c r="FH48" s="1858"/>
      <c r="FI48" s="1858"/>
      <c r="FJ48" s="1858"/>
      <c r="FK48" s="1858"/>
      <c r="FL48" s="1858"/>
      <c r="FM48" s="1858"/>
      <c r="FN48" s="1858"/>
      <c r="FO48" s="1858"/>
      <c r="FP48" s="1858"/>
      <c r="FQ48" s="1858"/>
      <c r="FR48" s="1858"/>
      <c r="FS48" s="1858"/>
      <c r="FT48" s="1858"/>
      <c r="FU48" s="1858"/>
      <c r="FV48" s="1858"/>
      <c r="FW48" s="1858"/>
      <c r="FX48" s="1858"/>
      <c r="FY48" s="1858"/>
      <c r="FZ48" s="1858"/>
      <c r="GA48" s="1858"/>
      <c r="GB48" s="1858"/>
      <c r="GC48" s="1858"/>
      <c r="GD48" s="1858"/>
      <c r="GE48" s="1858"/>
      <c r="GF48" s="1858"/>
      <c r="GG48" s="1858"/>
      <c r="GH48" s="1858"/>
      <c r="GI48" s="1858"/>
      <c r="GJ48" s="1858"/>
      <c r="GK48" s="1858"/>
      <c r="GL48" s="1858"/>
      <c r="GM48" s="1858"/>
      <c r="GN48" s="1858"/>
      <c r="GO48" s="1858"/>
      <c r="GP48" s="1858"/>
      <c r="GQ48" s="1858"/>
      <c r="GR48" s="1858"/>
      <c r="GS48" s="1858"/>
      <c r="GT48" s="1858"/>
      <c r="GU48" s="1858"/>
      <c r="GV48" s="1858"/>
      <c r="GW48" s="1858"/>
      <c r="GX48" s="1858"/>
      <c r="GY48" s="1858"/>
      <c r="GZ48" s="1858"/>
      <c r="HA48" s="1858"/>
      <c r="HB48" s="1858"/>
      <c r="HC48" s="1858"/>
      <c r="HD48" s="1858"/>
      <c r="HE48" s="1858"/>
      <c r="HF48" s="1858"/>
      <c r="HG48" s="1858"/>
      <c r="HH48" s="1858"/>
      <c r="HI48" s="1858"/>
      <c r="HJ48" s="1858"/>
      <c r="HK48" s="1858"/>
      <c r="HL48" s="1858"/>
      <c r="HM48" s="1858"/>
      <c r="HN48" s="1858"/>
      <c r="HO48" s="1858"/>
      <c r="HP48" s="1858"/>
      <c r="HQ48" s="1858"/>
      <c r="HR48" s="1858"/>
      <c r="HS48" s="1858"/>
      <c r="HT48" s="1858"/>
      <c r="HU48" s="1858"/>
      <c r="HV48" s="1858"/>
      <c r="HW48" s="1858"/>
      <c r="HX48" s="1858"/>
      <c r="HY48" s="1858"/>
      <c r="HZ48" s="1858"/>
      <c r="IA48" s="1858"/>
      <c r="IB48" s="1858"/>
      <c r="IC48" s="1858"/>
      <c r="ID48" s="1858"/>
      <c r="IE48" s="1858"/>
      <c r="IF48" s="1858"/>
      <c r="IG48" s="1858"/>
      <c r="IH48" s="1858"/>
      <c r="II48" s="1858"/>
      <c r="IJ48" s="1858"/>
      <c r="IK48" s="1858"/>
      <c r="IL48" s="1858"/>
      <c r="IM48" s="1858"/>
      <c r="IN48" s="1858"/>
      <c r="IO48" s="1858"/>
      <c r="IP48" s="1858"/>
      <c r="IQ48" s="1858"/>
      <c r="IR48" s="1858"/>
      <c r="IS48" s="1858"/>
      <c r="IT48" s="1858"/>
      <c r="IU48" s="1858"/>
      <c r="IV48" s="1858"/>
    </row>
    <row r="49" spans="1:256" s="42" customFormat="1" ht="15.75" customHeight="1" x14ac:dyDescent="0.25">
      <c r="A49" s="180"/>
      <c r="B49" s="583">
        <v>651</v>
      </c>
      <c r="C49" s="569" t="s">
        <v>757</v>
      </c>
      <c r="D49" s="478">
        <f>Data!B51</f>
        <v>0</v>
      </c>
      <c r="E49" s="478">
        <f>Data!C51</f>
        <v>0</v>
      </c>
      <c r="F49" s="478">
        <f>Data!D51</f>
        <v>0</v>
      </c>
      <c r="G49" s="480">
        <f>Data!E51</f>
        <v>0</v>
      </c>
      <c r="H49" s="476">
        <v>0</v>
      </c>
      <c r="I49" s="478">
        <f>IF(Data!$H$5="Actual", SUM(D49+E49+F49+G49)/4, SUM(D49+E49+F49)/3)</f>
        <v>0</v>
      </c>
      <c r="J49" s="628" t="str">
        <f t="shared" si="6"/>
        <v/>
      </c>
      <c r="K49" s="629" t="str">
        <f t="shared" si="7"/>
        <v/>
      </c>
      <c r="L49" s="180"/>
      <c r="M49" s="180"/>
      <c r="N49" s="1106"/>
      <c r="O49" s="1106"/>
      <c r="P49" s="1106"/>
      <c r="Q49" s="1106"/>
      <c r="R49" s="1106"/>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c r="AN49" s="1858"/>
      <c r="AO49" s="1858"/>
      <c r="AP49" s="1858"/>
      <c r="AQ49" s="1858"/>
      <c r="AR49" s="1858"/>
      <c r="AS49" s="1858"/>
      <c r="AT49" s="1858"/>
      <c r="AU49" s="1858"/>
      <c r="AV49" s="1858"/>
      <c r="AW49" s="1858"/>
      <c r="AX49" s="1858"/>
      <c r="AY49" s="1858"/>
      <c r="AZ49" s="1858"/>
      <c r="BA49" s="1858"/>
      <c r="BB49" s="1858"/>
      <c r="BC49" s="1858"/>
      <c r="BD49" s="1858"/>
      <c r="BE49" s="1858"/>
      <c r="BF49" s="1858"/>
      <c r="BG49" s="1858"/>
      <c r="BH49" s="1858"/>
      <c r="BI49" s="1858"/>
      <c r="BJ49" s="1858"/>
      <c r="BK49" s="1858"/>
      <c r="BL49" s="1858"/>
      <c r="BM49" s="1858"/>
      <c r="BN49" s="1858"/>
      <c r="BO49" s="1858"/>
      <c r="BP49" s="1858"/>
      <c r="BQ49" s="1858"/>
      <c r="BR49" s="1858"/>
      <c r="BS49" s="1858"/>
      <c r="BT49" s="1858"/>
      <c r="BU49" s="1858"/>
      <c r="BV49" s="1858"/>
      <c r="BW49" s="1858"/>
      <c r="BX49" s="1858"/>
      <c r="BY49" s="1858"/>
      <c r="BZ49" s="1858"/>
      <c r="CA49" s="1858"/>
      <c r="CB49" s="1858"/>
      <c r="CC49" s="1858"/>
      <c r="CD49" s="1858"/>
      <c r="CE49" s="1858"/>
      <c r="CF49" s="1858"/>
      <c r="CG49" s="1858"/>
      <c r="CH49" s="1858"/>
      <c r="CI49" s="1858"/>
      <c r="CJ49" s="1858"/>
      <c r="CK49" s="1858"/>
      <c r="CL49" s="1858"/>
      <c r="CM49" s="1858"/>
      <c r="CN49" s="1858"/>
      <c r="CO49" s="1858"/>
      <c r="CP49" s="1858"/>
      <c r="CQ49" s="1858"/>
      <c r="CR49" s="1858"/>
      <c r="CS49" s="1858"/>
      <c r="CT49" s="1858"/>
      <c r="CU49" s="1858"/>
      <c r="CV49" s="1858"/>
      <c r="CW49" s="1858"/>
      <c r="CX49" s="1858"/>
      <c r="CY49" s="1858"/>
      <c r="CZ49" s="1858"/>
      <c r="DA49" s="1858"/>
      <c r="DB49" s="1858"/>
      <c r="DC49" s="1858"/>
      <c r="DD49" s="1858"/>
      <c r="DE49" s="1858"/>
      <c r="DF49" s="1858"/>
      <c r="DG49" s="1858"/>
      <c r="DH49" s="1858"/>
      <c r="DI49" s="1858"/>
      <c r="DJ49" s="1858"/>
      <c r="DK49" s="1858"/>
      <c r="DL49" s="1858"/>
      <c r="DM49" s="1858"/>
      <c r="DN49" s="1858"/>
      <c r="DO49" s="1858"/>
      <c r="DP49" s="1858"/>
      <c r="DQ49" s="1858"/>
      <c r="DR49" s="1858"/>
      <c r="DS49" s="1858"/>
      <c r="DT49" s="1858"/>
      <c r="DU49" s="1858"/>
      <c r="DV49" s="1858"/>
      <c r="DW49" s="1858"/>
      <c r="DX49" s="1858"/>
      <c r="DY49" s="1858"/>
      <c r="DZ49" s="1858"/>
      <c r="EA49" s="1858"/>
      <c r="EB49" s="1858"/>
      <c r="EC49" s="1858"/>
      <c r="ED49" s="1858"/>
      <c r="EE49" s="1858"/>
      <c r="EF49" s="1858"/>
      <c r="EG49" s="1858"/>
      <c r="EH49" s="1858"/>
      <c r="EI49" s="1858"/>
      <c r="EJ49" s="1858"/>
      <c r="EK49" s="1858"/>
      <c r="EL49" s="1858"/>
      <c r="EM49" s="1858"/>
      <c r="EN49" s="1858"/>
      <c r="EO49" s="1858"/>
      <c r="EP49" s="1858"/>
      <c r="EQ49" s="1858"/>
      <c r="ER49" s="1858"/>
      <c r="ES49" s="1858"/>
      <c r="ET49" s="1858"/>
      <c r="EU49" s="1858"/>
      <c r="EV49" s="1858"/>
      <c r="EW49" s="1858"/>
      <c r="EX49" s="1858"/>
      <c r="EY49" s="1858"/>
      <c r="EZ49" s="1858"/>
      <c r="FA49" s="1858"/>
      <c r="FB49" s="1858"/>
      <c r="FC49" s="1858"/>
      <c r="FD49" s="1858"/>
      <c r="FE49" s="1858"/>
      <c r="FF49" s="1858"/>
      <c r="FG49" s="1858"/>
      <c r="FH49" s="1858"/>
      <c r="FI49" s="1858"/>
      <c r="FJ49" s="1858"/>
      <c r="FK49" s="1858"/>
      <c r="FL49" s="1858"/>
      <c r="FM49" s="1858"/>
      <c r="FN49" s="1858"/>
      <c r="FO49" s="1858"/>
      <c r="FP49" s="1858"/>
      <c r="FQ49" s="1858"/>
      <c r="FR49" s="1858"/>
      <c r="FS49" s="1858"/>
      <c r="FT49" s="1858"/>
      <c r="FU49" s="1858"/>
      <c r="FV49" s="1858"/>
      <c r="FW49" s="1858"/>
      <c r="FX49" s="1858"/>
      <c r="FY49" s="1858"/>
      <c r="FZ49" s="1858"/>
      <c r="GA49" s="1858"/>
      <c r="GB49" s="1858"/>
      <c r="GC49" s="1858"/>
      <c r="GD49" s="1858"/>
      <c r="GE49" s="1858"/>
      <c r="GF49" s="1858"/>
      <c r="GG49" s="1858"/>
      <c r="GH49" s="1858"/>
      <c r="GI49" s="1858"/>
      <c r="GJ49" s="1858"/>
      <c r="GK49" s="1858"/>
      <c r="GL49" s="1858"/>
      <c r="GM49" s="1858"/>
      <c r="GN49" s="1858"/>
      <c r="GO49" s="1858"/>
      <c r="GP49" s="1858"/>
      <c r="GQ49" s="1858"/>
      <c r="GR49" s="1858"/>
      <c r="GS49" s="1858"/>
      <c r="GT49" s="1858"/>
      <c r="GU49" s="1858"/>
      <c r="GV49" s="1858"/>
      <c r="GW49" s="1858"/>
      <c r="GX49" s="1858"/>
      <c r="GY49" s="1858"/>
      <c r="GZ49" s="1858"/>
      <c r="HA49" s="1858"/>
      <c r="HB49" s="1858"/>
      <c r="HC49" s="1858"/>
      <c r="HD49" s="1858"/>
      <c r="HE49" s="1858"/>
      <c r="HF49" s="1858"/>
      <c r="HG49" s="1858"/>
      <c r="HH49" s="1858"/>
      <c r="HI49" s="1858"/>
      <c r="HJ49" s="1858"/>
      <c r="HK49" s="1858"/>
      <c r="HL49" s="1858"/>
      <c r="HM49" s="1858"/>
      <c r="HN49" s="1858"/>
      <c r="HO49" s="1858"/>
      <c r="HP49" s="1858"/>
      <c r="HQ49" s="1858"/>
      <c r="HR49" s="1858"/>
      <c r="HS49" s="1858"/>
      <c r="HT49" s="1858"/>
      <c r="HU49" s="1858"/>
      <c r="HV49" s="1858"/>
      <c r="HW49" s="1858"/>
      <c r="HX49" s="1858"/>
      <c r="HY49" s="1858"/>
      <c r="HZ49" s="1858"/>
      <c r="IA49" s="1858"/>
      <c r="IB49" s="1858"/>
      <c r="IC49" s="1858"/>
      <c r="ID49" s="1858"/>
      <c r="IE49" s="1858"/>
      <c r="IF49" s="1858"/>
      <c r="IG49" s="1858"/>
      <c r="IH49" s="1858"/>
      <c r="II49" s="1858"/>
      <c r="IJ49" s="1858"/>
      <c r="IK49" s="1858"/>
      <c r="IL49" s="1858"/>
      <c r="IM49" s="1858"/>
      <c r="IN49" s="1858"/>
      <c r="IO49" s="1858"/>
      <c r="IP49" s="1858"/>
      <c r="IQ49" s="1858"/>
      <c r="IR49" s="1858"/>
      <c r="IS49" s="1858"/>
      <c r="IT49" s="1858"/>
      <c r="IU49" s="1858"/>
      <c r="IV49" s="1858"/>
    </row>
    <row r="50" spans="1:256" ht="15.75" customHeight="1" x14ac:dyDescent="0.25">
      <c r="A50" s="78"/>
      <c r="B50" s="583">
        <v>652</v>
      </c>
      <c r="C50" s="569" t="s">
        <v>770</v>
      </c>
      <c r="D50" s="478">
        <f>Data!B52</f>
        <v>0</v>
      </c>
      <c r="E50" s="478">
        <f>Data!C52</f>
        <v>0</v>
      </c>
      <c r="F50" s="478">
        <f>Data!D52</f>
        <v>0</v>
      </c>
      <c r="G50" s="480">
        <f>Data!E52</f>
        <v>0</v>
      </c>
      <c r="H50" s="476">
        <v>0</v>
      </c>
      <c r="I50" s="478">
        <f>IF(Data!$H$5="Actual", SUM(D50+E50+F50+G50)/4, SUM(D50+E50+F50)/3)</f>
        <v>0</v>
      </c>
      <c r="J50" s="628" t="str">
        <f t="shared" si="6"/>
        <v/>
      </c>
      <c r="K50" s="629" t="str">
        <f t="shared" si="7"/>
        <v/>
      </c>
      <c r="L50" s="78"/>
      <c r="M50" s="78"/>
      <c r="N50" s="57"/>
      <c r="O50" s="57"/>
      <c r="P50" s="57"/>
      <c r="Q50" s="57"/>
      <c r="R50" s="57"/>
    </row>
    <row r="51" spans="1:256" ht="15.75" customHeight="1" x14ac:dyDescent="0.25">
      <c r="A51" s="78"/>
      <c r="B51" s="506"/>
      <c r="C51" s="477"/>
      <c r="D51" s="722"/>
      <c r="E51" s="722"/>
      <c r="F51" s="722"/>
      <c r="G51" s="708"/>
      <c r="H51" s="708"/>
      <c r="I51" s="708"/>
      <c r="J51" s="598"/>
      <c r="K51" s="626"/>
      <c r="L51" s="78"/>
      <c r="M51" s="78"/>
      <c r="N51" s="57"/>
      <c r="O51" s="57"/>
      <c r="P51" s="57"/>
      <c r="Q51" s="57"/>
      <c r="R51" s="57"/>
    </row>
    <row r="52" spans="1:256" ht="15.75" customHeight="1" x14ac:dyDescent="0.25">
      <c r="A52" s="78"/>
      <c r="B52" s="595"/>
      <c r="C52" s="477" t="s">
        <v>771</v>
      </c>
      <c r="D52" s="703">
        <f t="shared" ref="D52:I52" si="8">SUM(D43:D50)</f>
        <v>0</v>
      </c>
      <c r="E52" s="703">
        <f t="shared" si="8"/>
        <v>0</v>
      </c>
      <c r="F52" s="703">
        <f t="shared" si="8"/>
        <v>0</v>
      </c>
      <c r="G52" s="703">
        <f t="shared" si="8"/>
        <v>0</v>
      </c>
      <c r="H52" s="703">
        <f t="shared" si="8"/>
        <v>0</v>
      </c>
      <c r="I52" s="703">
        <f t="shared" si="8"/>
        <v>0</v>
      </c>
      <c r="J52" s="598"/>
      <c r="K52" s="626"/>
      <c r="L52" s="78"/>
      <c r="M52" s="78"/>
      <c r="N52" s="57"/>
      <c r="O52" s="57"/>
      <c r="P52" s="57"/>
      <c r="Q52" s="57"/>
      <c r="R52" s="57"/>
    </row>
    <row r="53" spans="1:256" ht="15.75" customHeight="1" x14ac:dyDescent="0.25">
      <c r="A53" s="78"/>
      <c r="B53" s="595"/>
      <c r="C53" s="569"/>
      <c r="D53" s="688"/>
      <c r="E53" s="688"/>
      <c r="F53" s="688"/>
      <c r="G53" s="538"/>
      <c r="H53" s="538"/>
      <c r="I53" s="538"/>
      <c r="J53" s="598"/>
      <c r="K53" s="626"/>
      <c r="L53" s="78"/>
      <c r="M53" s="78"/>
      <c r="N53" s="57"/>
      <c r="O53" s="57"/>
      <c r="P53" s="57"/>
      <c r="Q53" s="57"/>
      <c r="R53" s="57"/>
    </row>
    <row r="54" spans="1:256" ht="15.75" customHeight="1" x14ac:dyDescent="0.25">
      <c r="A54" s="78"/>
      <c r="B54" s="697" t="s">
        <v>340</v>
      </c>
      <c r="C54" s="673" t="str">
        <f>CONCATENATE("All ",TestYear-1," and test year ",TestYear," estimates that vary from the three year average by")</f>
        <v>All 2022 and test year 2023 estimates that vary from the three year average by</v>
      </c>
      <c r="D54" s="538"/>
      <c r="E54" s="538"/>
      <c r="F54" s="538"/>
      <c r="G54" s="538"/>
      <c r="H54" s="538"/>
      <c r="I54" s="538"/>
      <c r="J54" s="598"/>
      <c r="K54" s="626"/>
      <c r="L54" s="78"/>
      <c r="M54" s="78"/>
      <c r="N54" s="78"/>
      <c r="O54" s="78"/>
      <c r="P54" s="78"/>
      <c r="Q54" s="78"/>
      <c r="R54" s="78"/>
    </row>
    <row r="55" spans="1:256" ht="15.75" customHeight="1" x14ac:dyDescent="0.25">
      <c r="A55" s="78"/>
      <c r="B55" s="649"/>
      <c r="C55" s="648" t="s">
        <v>855</v>
      </c>
      <c r="D55" s="538"/>
      <c r="E55" s="538"/>
      <c r="F55" s="538"/>
      <c r="G55" s="538"/>
      <c r="H55" s="538"/>
      <c r="I55" s="538"/>
      <c r="J55" s="598"/>
      <c r="K55" s="626"/>
      <c r="L55" s="78"/>
      <c r="M55" s="78"/>
      <c r="N55" s="78"/>
      <c r="O55" s="78"/>
      <c r="P55" s="78"/>
      <c r="Q55" s="78"/>
      <c r="R55" s="78"/>
    </row>
    <row r="56" spans="1:256" ht="15.75" customHeight="1" thickBot="1" x14ac:dyDescent="0.3">
      <c r="A56" s="78"/>
      <c r="B56" s="716"/>
      <c r="C56" s="606"/>
      <c r="D56" s="231"/>
      <c r="E56" s="231"/>
      <c r="F56" s="231"/>
      <c r="G56" s="231"/>
      <c r="H56" s="606"/>
      <c r="I56" s="717"/>
      <c r="J56" s="606"/>
      <c r="K56" s="718"/>
      <c r="L56" s="78"/>
      <c r="M56" s="78"/>
      <c r="N56" s="78"/>
      <c r="O56" s="78"/>
      <c r="P56" s="78"/>
      <c r="Q56" s="78"/>
      <c r="R56" s="78"/>
    </row>
    <row r="57" spans="1:256" ht="15.75" customHeight="1" thickTop="1" x14ac:dyDescent="0.25">
      <c r="A57" s="78"/>
      <c r="B57" s="699"/>
      <c r="C57" s="186"/>
      <c r="D57" s="78"/>
      <c r="E57" s="78"/>
      <c r="F57" s="78"/>
      <c r="G57" s="78"/>
      <c r="H57" s="79"/>
      <c r="I57" s="466"/>
      <c r="J57" s="79"/>
      <c r="K57" s="466"/>
      <c r="L57" s="78"/>
      <c r="M57" s="78"/>
      <c r="N57" s="78"/>
      <c r="O57" s="78"/>
      <c r="P57" s="78"/>
      <c r="Q57" s="78"/>
      <c r="R57" s="78"/>
    </row>
    <row r="58" spans="1:256" ht="15.75" customHeight="1" x14ac:dyDescent="0.25">
      <c r="A58" s="78"/>
      <c r="B58" s="699"/>
      <c r="C58" s="186"/>
      <c r="D58" s="78"/>
      <c r="E58" s="78"/>
      <c r="F58" s="78"/>
      <c r="G58" s="78"/>
      <c r="H58" s="79"/>
      <c r="I58" s="466"/>
      <c r="J58" s="79"/>
      <c r="K58" s="466"/>
      <c r="L58" s="78"/>
      <c r="M58" s="78"/>
      <c r="N58" s="78"/>
      <c r="O58" s="78"/>
      <c r="P58" s="78"/>
      <c r="Q58" s="78"/>
      <c r="R58" s="78"/>
    </row>
    <row r="59" spans="1:256" ht="15.75" customHeight="1" x14ac:dyDescent="0.25">
      <c r="A59" s="78"/>
      <c r="B59" s="700" t="str">
        <f>B1</f>
        <v>2023 Test Year</v>
      </c>
      <c r="C59" s="611"/>
      <c r="D59" s="2517" t="str">
        <f>Utility</f>
        <v>Cleveland Water Utility</v>
      </c>
      <c r="E59" s="2518"/>
      <c r="F59" s="2518"/>
      <c r="G59" s="2518"/>
      <c r="H59" s="471"/>
      <c r="I59" s="471"/>
      <c r="J59" s="469"/>
      <c r="K59" s="470" t="s">
        <v>439</v>
      </c>
      <c r="L59" s="78"/>
      <c r="M59" s="78"/>
      <c r="N59" s="78"/>
      <c r="O59" s="78"/>
      <c r="P59" s="78"/>
      <c r="Q59" s="78"/>
      <c r="R59" s="78"/>
    </row>
    <row r="60" spans="1:256" ht="15.75" customHeight="1" x14ac:dyDescent="0.25">
      <c r="A60" s="78"/>
      <c r="B60" s="611"/>
      <c r="C60" s="611"/>
      <c r="D60" s="2519" t="str">
        <f>D4</f>
        <v>OPERATING EXPENSES</v>
      </c>
      <c r="E60" s="2522"/>
      <c r="F60" s="2522"/>
      <c r="G60" s="2522"/>
      <c r="H60" s="471"/>
      <c r="I60" s="471"/>
      <c r="J60" s="561"/>
      <c r="K60" s="470" t="s">
        <v>467</v>
      </c>
      <c r="L60" s="78"/>
      <c r="M60" s="78"/>
      <c r="N60" s="78"/>
      <c r="O60" s="78"/>
      <c r="P60" s="78"/>
      <c r="Q60" s="78"/>
      <c r="R60" s="78"/>
    </row>
    <row r="61" spans="1:256" ht="15.75" customHeight="1" thickBot="1" x14ac:dyDescent="0.3">
      <c r="A61" s="78"/>
      <c r="B61" s="611"/>
      <c r="C61" s="609"/>
      <c r="D61" s="2516" t="str">
        <f>CONCATENATE("Estimated for Test Year ",TestYear)</f>
        <v>Estimated for Test Year 2023</v>
      </c>
      <c r="E61" s="2516"/>
      <c r="F61" s="2516"/>
      <c r="G61" s="2516"/>
      <c r="H61" s="469"/>
      <c r="I61" s="469"/>
      <c r="J61" s="561"/>
      <c r="K61" s="561"/>
      <c r="L61" s="78"/>
      <c r="M61" s="78"/>
      <c r="N61" s="78"/>
      <c r="O61" s="78"/>
      <c r="P61" s="78"/>
      <c r="Q61" s="78"/>
      <c r="R61" s="78"/>
    </row>
    <row r="62" spans="1:256" ht="15.75" customHeight="1" thickTop="1" x14ac:dyDescent="0.25">
      <c r="A62" s="78"/>
      <c r="B62" s="710"/>
      <c r="C62" s="711"/>
      <c r="D62" s="719"/>
      <c r="E62" s="719"/>
      <c r="F62" s="719"/>
      <c r="G62" s="719"/>
      <c r="H62" s="719"/>
      <c r="I62" s="724">
        <f>I6</f>
        <v>0</v>
      </c>
      <c r="J62" s="725"/>
      <c r="K62" s="726"/>
      <c r="L62" s="78"/>
      <c r="M62" s="78"/>
      <c r="N62" s="57"/>
      <c r="O62" s="57"/>
      <c r="P62" s="57"/>
      <c r="Q62" s="57"/>
      <c r="R62" s="57"/>
    </row>
    <row r="63" spans="1:256" ht="15.75" customHeight="1" x14ac:dyDescent="0.25">
      <c r="A63" s="78"/>
      <c r="B63" s="583" t="s">
        <v>443</v>
      </c>
      <c r="C63" s="584" t="s">
        <v>442</v>
      </c>
      <c r="D63" s="585"/>
      <c r="E63" s="586"/>
      <c r="F63" s="586"/>
      <c r="G63" s="709" t="str">
        <f>G10</f>
        <v>Estimated</v>
      </c>
      <c r="H63" s="713" t="s">
        <v>313</v>
      </c>
      <c r="I63" s="588" t="str">
        <f>I10</f>
        <v>3 Year</v>
      </c>
      <c r="J63" s="593" t="str">
        <f>G63</f>
        <v>Estimated</v>
      </c>
      <c r="K63" s="654" t="s">
        <v>313</v>
      </c>
      <c r="L63" s="78"/>
      <c r="M63" s="78"/>
      <c r="N63" s="57"/>
      <c r="O63" s="57"/>
      <c r="P63" s="57"/>
      <c r="Q63" s="57"/>
      <c r="R63" s="57"/>
    </row>
    <row r="64" spans="1:256" ht="15.75" customHeight="1" x14ac:dyDescent="0.25">
      <c r="A64" s="78"/>
      <c r="B64" s="594" t="s">
        <v>444</v>
      </c>
      <c r="C64" s="577" t="s">
        <v>315</v>
      </c>
      <c r="D64" s="578">
        <f>D11</f>
        <v>2019</v>
      </c>
      <c r="E64" s="578">
        <f>E11</f>
        <v>2020</v>
      </c>
      <c r="F64" s="579">
        <f>F11</f>
        <v>2021</v>
      </c>
      <c r="G64" s="576">
        <f>G11</f>
        <v>2022</v>
      </c>
      <c r="H64" s="577">
        <f>H11</f>
        <v>2023</v>
      </c>
      <c r="I64" s="578" t="s">
        <v>175</v>
      </c>
      <c r="J64" s="727">
        <f>J11</f>
        <v>2022</v>
      </c>
      <c r="K64" s="655">
        <f>K11</f>
        <v>2023</v>
      </c>
      <c r="L64" s="78"/>
      <c r="M64" s="78"/>
      <c r="N64" s="57"/>
      <c r="O64" s="57"/>
      <c r="P64" s="57"/>
      <c r="Q64" s="57"/>
      <c r="R64" s="57"/>
    </row>
    <row r="65" spans="1:18" ht="15.75" customHeight="1" x14ac:dyDescent="0.25">
      <c r="A65" s="78"/>
      <c r="B65" s="595"/>
      <c r="C65" s="568"/>
      <c r="D65" s="650"/>
      <c r="E65" s="570"/>
      <c r="F65" s="570"/>
      <c r="G65" s="537"/>
      <c r="H65" s="537"/>
      <c r="I65" s="570"/>
      <c r="J65" s="656"/>
      <c r="K65" s="657"/>
      <c r="L65" s="78"/>
      <c r="M65" s="78"/>
      <c r="N65" s="57"/>
      <c r="O65" s="57"/>
      <c r="P65" s="57"/>
      <c r="Q65" s="57"/>
      <c r="R65" s="57"/>
    </row>
    <row r="66" spans="1:18" ht="15.75" customHeight="1" x14ac:dyDescent="0.25">
      <c r="A66" s="78"/>
      <c r="B66" s="583">
        <v>660</v>
      </c>
      <c r="C66" s="477" t="s">
        <v>763</v>
      </c>
      <c r="D66" s="688">
        <f>Data!B53</f>
        <v>0</v>
      </c>
      <c r="E66" s="688">
        <f>Data!C53</f>
        <v>0</v>
      </c>
      <c r="F66" s="688">
        <f>Data!D53</f>
        <v>0</v>
      </c>
      <c r="G66" s="538">
        <f>Data!E53</f>
        <v>0</v>
      </c>
      <c r="H66" s="689">
        <v>0</v>
      </c>
      <c r="I66" s="688">
        <f>IF(Data!$H$5="Actual", SUM(D66+E66+F66+G66)/4, SUM(D66+E66+F66)/3)</f>
        <v>0</v>
      </c>
      <c r="J66" s="696" t="str">
        <f>IF(I66&lt;&gt;0,IF((G66-I66)/I66&gt;0.15,"Explain",IF((G66-I66)/I66&lt;-0.15,"Explain","")),"")</f>
        <v/>
      </c>
      <c r="K66" s="728" t="str">
        <f t="shared" ref="K66:K80" si="9">IF(I66&lt;&gt;0,IF((H66-I66)/I66&gt;0.15,"Explain",IF((H66-I66)/I66&lt; -0.15,"Explain","")),"")</f>
        <v/>
      </c>
      <c r="L66" s="78"/>
      <c r="M66" s="78"/>
      <c r="N66" s="57"/>
      <c r="O66" s="57"/>
      <c r="P66" s="57"/>
      <c r="Q66" s="57"/>
      <c r="R66" s="57"/>
    </row>
    <row r="67" spans="1:18" ht="15.75" customHeight="1" x14ac:dyDescent="0.25">
      <c r="A67" s="78"/>
      <c r="B67" s="583">
        <v>661</v>
      </c>
      <c r="C67" s="701" t="s">
        <v>772</v>
      </c>
      <c r="D67" s="478">
        <f>Data!B54</f>
        <v>0</v>
      </c>
      <c r="E67" s="478">
        <f>Data!C54</f>
        <v>0</v>
      </c>
      <c r="F67" s="478">
        <f>Data!D54</f>
        <v>0</v>
      </c>
      <c r="G67" s="480">
        <f>Data!E54</f>
        <v>0</v>
      </c>
      <c r="H67" s="476">
        <v>0</v>
      </c>
      <c r="I67" s="478">
        <f>IF(Data!$H$5="Actual", SUM(D67+E67+F67+G67)/4, SUM(D67+E67+F67)/3)</f>
        <v>0</v>
      </c>
      <c r="J67" s="696" t="str">
        <f>IF(I67&lt;&gt;0,IF((G67-I67)/I68&gt;0.15,"Explain",IF((G67-I67)/I67&lt;-0.15,"Explain","")),"")</f>
        <v/>
      </c>
      <c r="K67" s="728" t="str">
        <f t="shared" si="9"/>
        <v/>
      </c>
      <c r="L67" s="78"/>
      <c r="M67" s="78"/>
      <c r="N67" s="57"/>
      <c r="O67" s="57"/>
      <c r="P67" s="57"/>
      <c r="Q67" s="57"/>
      <c r="R67" s="57"/>
    </row>
    <row r="68" spans="1:18" ht="15.75" customHeight="1" x14ac:dyDescent="0.25">
      <c r="A68" s="78"/>
      <c r="B68" s="583">
        <v>662</v>
      </c>
      <c r="C68" s="701" t="s">
        <v>773</v>
      </c>
      <c r="D68" s="478">
        <f>Data!B55</f>
        <v>0</v>
      </c>
      <c r="E68" s="478">
        <f>Data!C55</f>
        <v>0</v>
      </c>
      <c r="F68" s="478">
        <f>Data!D55</f>
        <v>0</v>
      </c>
      <c r="G68" s="480">
        <f>Data!E55</f>
        <v>0</v>
      </c>
      <c r="H68" s="476">
        <v>0</v>
      </c>
      <c r="I68" s="478">
        <f>IF(Data!$H$5="Actual", SUM(D68+E68+F68+G68)/4, SUM(D68+E68+F68)/3)</f>
        <v>0</v>
      </c>
      <c r="J68" s="696" t="str">
        <f t="shared" ref="J68:J80" si="10">IF(I68&lt;&gt;0,IF((G68-I68)/I68&gt;0.15,"Explain",IF((G68-I68)/I68&lt;-0.15,"Explain","")),"")</f>
        <v/>
      </c>
      <c r="K68" s="728" t="str">
        <f t="shared" si="9"/>
        <v/>
      </c>
      <c r="L68" s="78"/>
      <c r="M68" s="78"/>
      <c r="N68" s="57"/>
      <c r="O68" s="57"/>
      <c r="P68" s="57"/>
      <c r="Q68" s="57"/>
      <c r="R68" s="57"/>
    </row>
    <row r="69" spans="1:18" ht="15.75" customHeight="1" x14ac:dyDescent="0.25">
      <c r="A69" s="78"/>
      <c r="B69" s="583">
        <v>663</v>
      </c>
      <c r="C69" s="701" t="s">
        <v>774</v>
      </c>
      <c r="D69" s="478">
        <f>Data!B56</f>
        <v>0</v>
      </c>
      <c r="E69" s="478">
        <f>Data!C56</f>
        <v>0</v>
      </c>
      <c r="F69" s="478">
        <f>Data!D56</f>
        <v>0</v>
      </c>
      <c r="G69" s="480">
        <f>Data!E56</f>
        <v>0</v>
      </c>
      <c r="H69" s="476">
        <v>0</v>
      </c>
      <c r="I69" s="478">
        <f>IF(Data!$H$5="Actual", SUM(D69+E69+F69+G69)/4, SUM(D69+E69+F69)/3)</f>
        <v>0</v>
      </c>
      <c r="J69" s="696" t="str">
        <f t="shared" si="10"/>
        <v/>
      </c>
      <c r="K69" s="728" t="str">
        <f t="shared" si="9"/>
        <v/>
      </c>
      <c r="L69" s="78"/>
      <c r="M69" s="78"/>
      <c r="N69" s="57"/>
      <c r="O69" s="57"/>
      <c r="P69" s="57"/>
      <c r="Q69" s="57"/>
      <c r="R69" s="57"/>
    </row>
    <row r="70" spans="1:18" ht="15.75" customHeight="1" x14ac:dyDescent="0.25">
      <c r="A70" s="78"/>
      <c r="B70" s="583">
        <v>664</v>
      </c>
      <c r="C70" s="701" t="s">
        <v>775</v>
      </c>
      <c r="D70" s="478">
        <f>Data!B57</f>
        <v>0</v>
      </c>
      <c r="E70" s="478">
        <f>Data!C57</f>
        <v>0</v>
      </c>
      <c r="F70" s="478">
        <f>Data!D57</f>
        <v>0</v>
      </c>
      <c r="G70" s="480">
        <f>Data!E57</f>
        <v>0</v>
      </c>
      <c r="H70" s="476">
        <v>0</v>
      </c>
      <c r="I70" s="478">
        <f>IF(Data!$H$5="Actual", SUM(D70+E70+F70+G70)/4, SUM(D70+E70+F70)/3)</f>
        <v>0</v>
      </c>
      <c r="J70" s="696" t="str">
        <f t="shared" si="10"/>
        <v/>
      </c>
      <c r="K70" s="728" t="str">
        <f t="shared" si="9"/>
        <v/>
      </c>
      <c r="L70" s="78"/>
      <c r="M70" s="78"/>
      <c r="N70" s="57"/>
      <c r="O70" s="57"/>
      <c r="P70" s="57"/>
      <c r="Q70" s="57"/>
      <c r="R70" s="57"/>
    </row>
    <row r="71" spans="1:18" ht="15.75" customHeight="1" x14ac:dyDescent="0.25">
      <c r="A71" s="78"/>
      <c r="B71" s="583">
        <v>665</v>
      </c>
      <c r="C71" s="569" t="s">
        <v>754</v>
      </c>
      <c r="D71" s="478">
        <f>Data!B58</f>
        <v>0</v>
      </c>
      <c r="E71" s="478">
        <f>Data!C58</f>
        <v>0</v>
      </c>
      <c r="F71" s="478">
        <f>Data!D58</f>
        <v>0</v>
      </c>
      <c r="G71" s="480">
        <f>Data!E58</f>
        <v>0</v>
      </c>
      <c r="H71" s="476">
        <v>0</v>
      </c>
      <c r="I71" s="478">
        <f>IF(Data!$H$5="Actual", SUM(D71+E71+F71+G71)/4, SUM(D71+E71+F71)/3)</f>
        <v>0</v>
      </c>
      <c r="J71" s="696" t="str">
        <f t="shared" si="10"/>
        <v/>
      </c>
      <c r="K71" s="728" t="str">
        <f t="shared" si="9"/>
        <v/>
      </c>
      <c r="L71" s="78"/>
      <c r="M71" s="78"/>
      <c r="N71" s="57"/>
      <c r="O71" s="57"/>
      <c r="P71" s="57"/>
      <c r="Q71" s="57"/>
      <c r="R71" s="57"/>
    </row>
    <row r="72" spans="1:18" ht="15.75" customHeight="1" x14ac:dyDescent="0.25">
      <c r="A72" s="78"/>
      <c r="B72" s="583">
        <v>666</v>
      </c>
      <c r="C72" s="701" t="s">
        <v>755</v>
      </c>
      <c r="D72" s="478">
        <f>Data!B59</f>
        <v>0</v>
      </c>
      <c r="E72" s="478">
        <f>Data!C59</f>
        <v>0</v>
      </c>
      <c r="F72" s="478">
        <f>Data!D59</f>
        <v>0</v>
      </c>
      <c r="G72" s="480">
        <f>Data!E59</f>
        <v>0</v>
      </c>
      <c r="H72" s="476">
        <v>0</v>
      </c>
      <c r="I72" s="478">
        <f>IF(Data!$H$5="Actual", SUM(D72+E72+F72+G72)/4, SUM(D72+E72+F72)/3)</f>
        <v>0</v>
      </c>
      <c r="J72" s="696" t="str">
        <f t="shared" si="10"/>
        <v/>
      </c>
      <c r="K72" s="728" t="str">
        <f t="shared" si="9"/>
        <v/>
      </c>
      <c r="L72" s="78"/>
      <c r="M72" s="78"/>
      <c r="N72" s="57"/>
      <c r="O72" s="57"/>
      <c r="P72" s="57"/>
      <c r="Q72" s="57"/>
      <c r="R72" s="57"/>
    </row>
    <row r="73" spans="1:18" ht="15.75" customHeight="1" x14ac:dyDescent="0.25">
      <c r="A73" s="78"/>
      <c r="B73" s="583">
        <v>670</v>
      </c>
      <c r="C73" s="477" t="s">
        <v>756</v>
      </c>
      <c r="D73" s="478">
        <f>Data!B60</f>
        <v>0</v>
      </c>
      <c r="E73" s="478">
        <f>Data!C60</f>
        <v>0</v>
      </c>
      <c r="F73" s="478">
        <f>Data!D60</f>
        <v>0</v>
      </c>
      <c r="G73" s="480">
        <f>Data!E60</f>
        <v>0</v>
      </c>
      <c r="H73" s="476">
        <v>0</v>
      </c>
      <c r="I73" s="478">
        <f>IF(Data!$H$5="Actual", SUM(D73+E73+F73+G73)/4, SUM(D73+E73+F73)/3)</f>
        <v>0</v>
      </c>
      <c r="J73" s="696" t="str">
        <f t="shared" si="10"/>
        <v/>
      </c>
      <c r="K73" s="728" t="str">
        <f t="shared" si="9"/>
        <v/>
      </c>
      <c r="L73" s="78"/>
      <c r="M73" s="78"/>
      <c r="N73" s="57"/>
      <c r="O73" s="57"/>
      <c r="P73" s="57"/>
      <c r="Q73" s="57"/>
      <c r="R73" s="57"/>
    </row>
    <row r="74" spans="1:18" ht="15.75" customHeight="1" x14ac:dyDescent="0.25">
      <c r="A74" s="78"/>
      <c r="B74" s="583">
        <v>671</v>
      </c>
      <c r="C74" s="569" t="s">
        <v>757</v>
      </c>
      <c r="D74" s="478">
        <f>Data!B61</f>
        <v>0</v>
      </c>
      <c r="E74" s="478">
        <f>Data!C61</f>
        <v>0</v>
      </c>
      <c r="F74" s="478">
        <f>Data!D61</f>
        <v>0</v>
      </c>
      <c r="G74" s="480">
        <f>Data!E61</f>
        <v>0</v>
      </c>
      <c r="H74" s="476">
        <v>0</v>
      </c>
      <c r="I74" s="478">
        <f>IF(Data!$H$5="Actual", SUM(D74+E74+F74+G74)/4, SUM(D74+E74+F74)/3)</f>
        <v>0</v>
      </c>
      <c r="J74" s="696" t="str">
        <f t="shared" si="10"/>
        <v/>
      </c>
      <c r="K74" s="728" t="str">
        <f t="shared" si="9"/>
        <v/>
      </c>
      <c r="L74" s="78"/>
      <c r="M74" s="78"/>
      <c r="N74" s="57"/>
      <c r="O74" s="57"/>
      <c r="P74" s="57"/>
      <c r="Q74" s="57"/>
      <c r="R74" s="57"/>
    </row>
    <row r="75" spans="1:18" ht="15.75" customHeight="1" x14ac:dyDescent="0.25">
      <c r="A75" s="78"/>
      <c r="B75" s="583">
        <v>672</v>
      </c>
      <c r="C75" s="569" t="s">
        <v>776</v>
      </c>
      <c r="D75" s="478">
        <f>Data!B62</f>
        <v>0</v>
      </c>
      <c r="E75" s="478">
        <f>Data!C62</f>
        <v>0</v>
      </c>
      <c r="F75" s="478">
        <f>Data!D62</f>
        <v>0</v>
      </c>
      <c r="G75" s="480">
        <f>Data!E62</f>
        <v>0</v>
      </c>
      <c r="H75" s="476">
        <v>0</v>
      </c>
      <c r="I75" s="478">
        <f>IF(Data!$H$5="Actual", SUM(D75+E75+F75+G75)/4, SUM(D75+E75+F75)/3)</f>
        <v>0</v>
      </c>
      <c r="J75" s="696" t="str">
        <f t="shared" si="10"/>
        <v/>
      </c>
      <c r="K75" s="728" t="str">
        <f t="shared" si="9"/>
        <v/>
      </c>
      <c r="L75" s="78"/>
      <c r="M75" s="78"/>
      <c r="N75" s="57"/>
      <c r="O75" s="57"/>
      <c r="P75" s="57"/>
      <c r="Q75" s="57"/>
      <c r="R75" s="57"/>
    </row>
    <row r="76" spans="1:18" ht="15.75" customHeight="1" x14ac:dyDescent="0.25">
      <c r="A76" s="78"/>
      <c r="B76" s="583">
        <v>673</v>
      </c>
      <c r="C76" s="701" t="s">
        <v>777</v>
      </c>
      <c r="D76" s="478">
        <f>Data!B63</f>
        <v>0</v>
      </c>
      <c r="E76" s="478">
        <f>Data!C63</f>
        <v>0</v>
      </c>
      <c r="F76" s="478">
        <f>Data!D63</f>
        <v>0</v>
      </c>
      <c r="G76" s="480">
        <f>Data!E63</f>
        <v>0</v>
      </c>
      <c r="H76" s="476">
        <v>0</v>
      </c>
      <c r="I76" s="478">
        <f>IF(Data!$H$5="Actual", SUM(D76+E76+F76+G76)/4, SUM(D76+E76+F76)/3)</f>
        <v>0</v>
      </c>
      <c r="J76" s="696" t="str">
        <f t="shared" si="10"/>
        <v/>
      </c>
      <c r="K76" s="728" t="str">
        <f t="shared" si="9"/>
        <v/>
      </c>
      <c r="L76" s="78"/>
      <c r="M76" s="78"/>
      <c r="N76" s="57"/>
      <c r="O76" s="57"/>
      <c r="P76" s="57"/>
      <c r="Q76" s="57"/>
      <c r="R76" s="57"/>
    </row>
    <row r="77" spans="1:18" ht="15.75" customHeight="1" x14ac:dyDescent="0.25">
      <c r="A77" s="78"/>
      <c r="B77" s="583">
        <v>675</v>
      </c>
      <c r="C77" s="701" t="s">
        <v>462</v>
      </c>
      <c r="D77" s="478">
        <f>Data!B64</f>
        <v>0</v>
      </c>
      <c r="E77" s="478">
        <f>Data!C64</f>
        <v>0</v>
      </c>
      <c r="F77" s="478">
        <f>Data!D64</f>
        <v>0</v>
      </c>
      <c r="G77" s="480">
        <f>Data!E64</f>
        <v>0</v>
      </c>
      <c r="H77" s="476">
        <v>0</v>
      </c>
      <c r="I77" s="478">
        <f>IF(Data!$H$5="Actual", SUM(D77+E77+F77+G77)/4, SUM(D77+E77+F77)/3)</f>
        <v>0</v>
      </c>
      <c r="J77" s="696" t="str">
        <f t="shared" si="10"/>
        <v/>
      </c>
      <c r="K77" s="728" t="str">
        <f t="shared" si="9"/>
        <v/>
      </c>
      <c r="L77" s="78"/>
      <c r="M77" s="78"/>
      <c r="N77" s="57"/>
      <c r="O77" s="57"/>
      <c r="P77" s="57"/>
      <c r="Q77" s="57"/>
      <c r="R77" s="57"/>
    </row>
    <row r="78" spans="1:18" ht="15.75" customHeight="1" x14ac:dyDescent="0.25">
      <c r="A78" s="78"/>
      <c r="B78" s="583">
        <v>676</v>
      </c>
      <c r="C78" s="701" t="s">
        <v>463</v>
      </c>
      <c r="D78" s="478">
        <f>Data!B65</f>
        <v>0</v>
      </c>
      <c r="E78" s="478">
        <f>Data!C65</f>
        <v>0</v>
      </c>
      <c r="F78" s="478">
        <f>Data!D65</f>
        <v>0</v>
      </c>
      <c r="G78" s="480">
        <f>Data!E65</f>
        <v>0</v>
      </c>
      <c r="H78" s="476">
        <v>0</v>
      </c>
      <c r="I78" s="478">
        <f>IF(Data!$H$5="Actual", SUM(D78+E78+F78+G78)/4, SUM(D78+E78+F78)/3)</f>
        <v>0</v>
      </c>
      <c r="J78" s="696" t="str">
        <f t="shared" si="10"/>
        <v/>
      </c>
      <c r="K78" s="728" t="str">
        <f t="shared" si="9"/>
        <v/>
      </c>
      <c r="L78" s="78"/>
      <c r="M78" s="78"/>
      <c r="N78" s="57"/>
      <c r="O78" s="57"/>
      <c r="P78" s="57"/>
      <c r="Q78" s="57"/>
      <c r="R78" s="57"/>
    </row>
    <row r="79" spans="1:18" ht="15.75" customHeight="1" x14ac:dyDescent="0.25">
      <c r="A79" s="78"/>
      <c r="B79" s="583">
        <v>677</v>
      </c>
      <c r="C79" s="701" t="s">
        <v>464</v>
      </c>
      <c r="D79" s="478">
        <f>Data!B66</f>
        <v>0</v>
      </c>
      <c r="E79" s="478">
        <f>Data!C66</f>
        <v>0</v>
      </c>
      <c r="F79" s="478">
        <f>Data!D66</f>
        <v>0</v>
      </c>
      <c r="G79" s="480">
        <f>Data!E66</f>
        <v>0</v>
      </c>
      <c r="H79" s="476">
        <v>0</v>
      </c>
      <c r="I79" s="478">
        <f>IF(Data!$H$5="Actual", SUM(D79+E79+F79+G79)/4, SUM(D79+E79+F79)/3)</f>
        <v>0</v>
      </c>
      <c r="J79" s="696" t="str">
        <f t="shared" si="10"/>
        <v/>
      </c>
      <c r="K79" s="728" t="str">
        <f t="shared" si="9"/>
        <v/>
      </c>
      <c r="L79" s="78"/>
      <c r="M79" s="78"/>
      <c r="N79" s="57"/>
      <c r="O79" s="57"/>
      <c r="P79" s="57"/>
      <c r="Q79" s="57"/>
      <c r="R79" s="57"/>
    </row>
    <row r="80" spans="1:18" ht="15.75" customHeight="1" x14ac:dyDescent="0.25">
      <c r="A80" s="78"/>
      <c r="B80" s="583">
        <v>678</v>
      </c>
      <c r="C80" s="701" t="s">
        <v>778</v>
      </c>
      <c r="D80" s="478">
        <f>Data!B67</f>
        <v>0</v>
      </c>
      <c r="E80" s="478">
        <f>Data!C67</f>
        <v>0</v>
      </c>
      <c r="F80" s="478">
        <f>Data!D67</f>
        <v>0</v>
      </c>
      <c r="G80" s="690">
        <f>Data!E67</f>
        <v>0</v>
      </c>
      <c r="H80" s="476">
        <v>0</v>
      </c>
      <c r="I80" s="478">
        <f>IF(Data!$H$5="Actual", SUM(D80+E80+F80+G80)/4, SUM(D80+E80+F80)/3)</f>
        <v>0</v>
      </c>
      <c r="J80" s="696" t="str">
        <f t="shared" si="10"/>
        <v/>
      </c>
      <c r="K80" s="728" t="str">
        <f t="shared" si="9"/>
        <v/>
      </c>
      <c r="L80" s="78"/>
      <c r="M80" s="78"/>
      <c r="N80" s="57"/>
      <c r="O80" s="57"/>
      <c r="P80" s="57"/>
      <c r="Q80" s="57"/>
      <c r="R80" s="57"/>
    </row>
    <row r="81" spans="1:256" s="42" customFormat="1" ht="15.75" customHeight="1" x14ac:dyDescent="0.25">
      <c r="A81" s="180"/>
      <c r="B81" s="583"/>
      <c r="C81" s="701"/>
      <c r="D81" s="651"/>
      <c r="E81" s="651"/>
      <c r="F81" s="651"/>
      <c r="G81" s="643"/>
      <c r="H81" s="643"/>
      <c r="I81" s="651"/>
      <c r="J81" s="729"/>
      <c r="K81" s="730"/>
      <c r="L81" s="180"/>
      <c r="M81" s="180"/>
      <c r="N81" s="1106"/>
      <c r="O81" s="1106"/>
      <c r="P81" s="1106"/>
      <c r="Q81" s="1106"/>
      <c r="R81" s="1106"/>
      <c r="S81" s="1858"/>
      <c r="T81" s="1858"/>
      <c r="U81" s="1858"/>
      <c r="V81" s="1858"/>
      <c r="W81" s="1858"/>
      <c r="X81" s="1858"/>
      <c r="Y81" s="1858"/>
      <c r="Z81" s="1858"/>
      <c r="AA81" s="1858"/>
      <c r="AB81" s="1858"/>
      <c r="AC81" s="1858"/>
      <c r="AD81" s="1858"/>
      <c r="AE81" s="1858"/>
      <c r="AF81" s="1858"/>
      <c r="AG81" s="1858"/>
      <c r="AH81" s="1858"/>
      <c r="AI81" s="1858"/>
      <c r="AJ81" s="1858"/>
      <c r="AK81" s="1858"/>
      <c r="AL81" s="1858"/>
      <c r="AM81" s="1858"/>
      <c r="AN81" s="1858"/>
      <c r="AO81" s="1858"/>
      <c r="AP81" s="1858"/>
      <c r="AQ81" s="1858"/>
      <c r="AR81" s="1858"/>
      <c r="AS81" s="1858"/>
      <c r="AT81" s="1858"/>
      <c r="AU81" s="1858"/>
      <c r="AV81" s="1858"/>
      <c r="AW81" s="1858"/>
      <c r="AX81" s="1858"/>
      <c r="AY81" s="1858"/>
      <c r="AZ81" s="1858"/>
      <c r="BA81" s="1858"/>
      <c r="BB81" s="1858"/>
      <c r="BC81" s="1858"/>
      <c r="BD81" s="1858"/>
      <c r="BE81" s="1858"/>
      <c r="BF81" s="1858"/>
      <c r="BG81" s="1858"/>
      <c r="BH81" s="1858"/>
      <c r="BI81" s="1858"/>
      <c r="BJ81" s="1858"/>
      <c r="BK81" s="1858"/>
      <c r="BL81" s="1858"/>
      <c r="BM81" s="1858"/>
      <c r="BN81" s="1858"/>
      <c r="BO81" s="1858"/>
      <c r="BP81" s="1858"/>
      <c r="BQ81" s="1858"/>
      <c r="BR81" s="1858"/>
      <c r="BS81" s="1858"/>
      <c r="BT81" s="1858"/>
      <c r="BU81" s="1858"/>
      <c r="BV81" s="1858"/>
      <c r="BW81" s="1858"/>
      <c r="BX81" s="1858"/>
      <c r="BY81" s="1858"/>
      <c r="BZ81" s="1858"/>
      <c r="CA81" s="1858"/>
      <c r="CB81" s="1858"/>
      <c r="CC81" s="1858"/>
      <c r="CD81" s="1858"/>
      <c r="CE81" s="1858"/>
      <c r="CF81" s="1858"/>
      <c r="CG81" s="1858"/>
      <c r="CH81" s="1858"/>
      <c r="CI81" s="1858"/>
      <c r="CJ81" s="1858"/>
      <c r="CK81" s="1858"/>
      <c r="CL81" s="1858"/>
      <c r="CM81" s="1858"/>
      <c r="CN81" s="1858"/>
      <c r="CO81" s="1858"/>
      <c r="CP81" s="1858"/>
      <c r="CQ81" s="1858"/>
      <c r="CR81" s="1858"/>
      <c r="CS81" s="1858"/>
      <c r="CT81" s="1858"/>
      <c r="CU81" s="1858"/>
      <c r="CV81" s="1858"/>
      <c r="CW81" s="1858"/>
      <c r="CX81" s="1858"/>
      <c r="CY81" s="1858"/>
      <c r="CZ81" s="1858"/>
      <c r="DA81" s="1858"/>
      <c r="DB81" s="1858"/>
      <c r="DC81" s="1858"/>
      <c r="DD81" s="1858"/>
      <c r="DE81" s="1858"/>
      <c r="DF81" s="1858"/>
      <c r="DG81" s="1858"/>
      <c r="DH81" s="1858"/>
      <c r="DI81" s="1858"/>
      <c r="DJ81" s="1858"/>
      <c r="DK81" s="1858"/>
      <c r="DL81" s="1858"/>
      <c r="DM81" s="1858"/>
      <c r="DN81" s="1858"/>
      <c r="DO81" s="1858"/>
      <c r="DP81" s="1858"/>
      <c r="DQ81" s="1858"/>
      <c r="DR81" s="1858"/>
      <c r="DS81" s="1858"/>
      <c r="DT81" s="1858"/>
      <c r="DU81" s="1858"/>
      <c r="DV81" s="1858"/>
      <c r="DW81" s="1858"/>
      <c r="DX81" s="1858"/>
      <c r="DY81" s="1858"/>
      <c r="DZ81" s="1858"/>
      <c r="EA81" s="1858"/>
      <c r="EB81" s="1858"/>
      <c r="EC81" s="1858"/>
      <c r="ED81" s="1858"/>
      <c r="EE81" s="1858"/>
      <c r="EF81" s="1858"/>
      <c r="EG81" s="1858"/>
      <c r="EH81" s="1858"/>
      <c r="EI81" s="1858"/>
      <c r="EJ81" s="1858"/>
      <c r="EK81" s="1858"/>
      <c r="EL81" s="1858"/>
      <c r="EM81" s="1858"/>
      <c r="EN81" s="1858"/>
      <c r="EO81" s="1858"/>
      <c r="EP81" s="1858"/>
      <c r="EQ81" s="1858"/>
      <c r="ER81" s="1858"/>
      <c r="ES81" s="1858"/>
      <c r="ET81" s="1858"/>
      <c r="EU81" s="1858"/>
      <c r="EV81" s="1858"/>
      <c r="EW81" s="1858"/>
      <c r="EX81" s="1858"/>
      <c r="EY81" s="1858"/>
      <c r="EZ81" s="1858"/>
      <c r="FA81" s="1858"/>
      <c r="FB81" s="1858"/>
      <c r="FC81" s="1858"/>
      <c r="FD81" s="1858"/>
      <c r="FE81" s="1858"/>
      <c r="FF81" s="1858"/>
      <c r="FG81" s="1858"/>
      <c r="FH81" s="1858"/>
      <c r="FI81" s="1858"/>
      <c r="FJ81" s="1858"/>
      <c r="FK81" s="1858"/>
      <c r="FL81" s="1858"/>
      <c r="FM81" s="1858"/>
      <c r="FN81" s="1858"/>
      <c r="FO81" s="1858"/>
      <c r="FP81" s="1858"/>
      <c r="FQ81" s="1858"/>
      <c r="FR81" s="1858"/>
      <c r="FS81" s="1858"/>
      <c r="FT81" s="1858"/>
      <c r="FU81" s="1858"/>
      <c r="FV81" s="1858"/>
      <c r="FW81" s="1858"/>
      <c r="FX81" s="1858"/>
      <c r="FY81" s="1858"/>
      <c r="FZ81" s="1858"/>
      <c r="GA81" s="1858"/>
      <c r="GB81" s="1858"/>
      <c r="GC81" s="1858"/>
      <c r="GD81" s="1858"/>
      <c r="GE81" s="1858"/>
      <c r="GF81" s="1858"/>
      <c r="GG81" s="1858"/>
      <c r="GH81" s="1858"/>
      <c r="GI81" s="1858"/>
      <c r="GJ81" s="1858"/>
      <c r="GK81" s="1858"/>
      <c r="GL81" s="1858"/>
      <c r="GM81" s="1858"/>
      <c r="GN81" s="1858"/>
      <c r="GO81" s="1858"/>
      <c r="GP81" s="1858"/>
      <c r="GQ81" s="1858"/>
      <c r="GR81" s="1858"/>
      <c r="GS81" s="1858"/>
      <c r="GT81" s="1858"/>
      <c r="GU81" s="1858"/>
      <c r="GV81" s="1858"/>
      <c r="GW81" s="1858"/>
      <c r="GX81" s="1858"/>
      <c r="GY81" s="1858"/>
      <c r="GZ81" s="1858"/>
      <c r="HA81" s="1858"/>
      <c r="HB81" s="1858"/>
      <c r="HC81" s="1858"/>
      <c r="HD81" s="1858"/>
      <c r="HE81" s="1858"/>
      <c r="HF81" s="1858"/>
      <c r="HG81" s="1858"/>
      <c r="HH81" s="1858"/>
      <c r="HI81" s="1858"/>
      <c r="HJ81" s="1858"/>
      <c r="HK81" s="1858"/>
      <c r="HL81" s="1858"/>
      <c r="HM81" s="1858"/>
      <c r="HN81" s="1858"/>
      <c r="HO81" s="1858"/>
      <c r="HP81" s="1858"/>
      <c r="HQ81" s="1858"/>
      <c r="HR81" s="1858"/>
      <c r="HS81" s="1858"/>
      <c r="HT81" s="1858"/>
      <c r="HU81" s="1858"/>
      <c r="HV81" s="1858"/>
      <c r="HW81" s="1858"/>
      <c r="HX81" s="1858"/>
      <c r="HY81" s="1858"/>
      <c r="HZ81" s="1858"/>
      <c r="IA81" s="1858"/>
      <c r="IB81" s="1858"/>
      <c r="IC81" s="1858"/>
      <c r="ID81" s="1858"/>
      <c r="IE81" s="1858"/>
      <c r="IF81" s="1858"/>
      <c r="IG81" s="1858"/>
      <c r="IH81" s="1858"/>
      <c r="II81" s="1858"/>
      <c r="IJ81" s="1858"/>
      <c r="IK81" s="1858"/>
      <c r="IL81" s="1858"/>
      <c r="IM81" s="1858"/>
      <c r="IN81" s="1858"/>
      <c r="IO81" s="1858"/>
      <c r="IP81" s="1858"/>
      <c r="IQ81" s="1858"/>
      <c r="IR81" s="1858"/>
      <c r="IS81" s="1858"/>
      <c r="IT81" s="1858"/>
      <c r="IU81" s="1858"/>
      <c r="IV81" s="1858"/>
    </row>
    <row r="82" spans="1:256" ht="15.75" customHeight="1" x14ac:dyDescent="0.25">
      <c r="A82" s="78"/>
      <c r="B82" s="583"/>
      <c r="C82" s="573" t="s">
        <v>779</v>
      </c>
      <c r="D82" s="645">
        <f t="shared" ref="D82:I82" si="11">SUM(D66:D80)</f>
        <v>0</v>
      </c>
      <c r="E82" s="645">
        <f t="shared" si="11"/>
        <v>0</v>
      </c>
      <c r="F82" s="645">
        <f t="shared" si="11"/>
        <v>0</v>
      </c>
      <c r="G82" s="645">
        <f t="shared" si="11"/>
        <v>0</v>
      </c>
      <c r="H82" s="645">
        <f t="shared" si="11"/>
        <v>0</v>
      </c>
      <c r="I82" s="645">
        <f t="shared" si="11"/>
        <v>0</v>
      </c>
      <c r="J82" s="729"/>
      <c r="K82" s="730"/>
      <c r="L82" s="78"/>
      <c r="M82" s="78"/>
      <c r="N82" s="57"/>
      <c r="O82" s="57"/>
      <c r="P82" s="57"/>
      <c r="Q82" s="57"/>
      <c r="R82" s="57"/>
    </row>
    <row r="83" spans="1:256" ht="15.75" customHeight="1" x14ac:dyDescent="0.25">
      <c r="A83" s="78"/>
      <c r="B83" s="583"/>
      <c r="C83" s="638"/>
      <c r="D83" s="642"/>
      <c r="E83" s="642"/>
      <c r="F83" s="642"/>
      <c r="G83" s="641"/>
      <c r="H83" s="641"/>
      <c r="I83" s="642"/>
      <c r="J83" s="729"/>
      <c r="K83" s="730"/>
      <c r="L83" s="78"/>
      <c r="M83" s="78"/>
      <c r="N83" s="57"/>
      <c r="O83" s="57"/>
      <c r="P83" s="57"/>
      <c r="Q83" s="57"/>
      <c r="R83" s="57"/>
    </row>
    <row r="84" spans="1:256" ht="15.75" customHeight="1" x14ac:dyDescent="0.25">
      <c r="A84" s="78"/>
      <c r="B84" s="583">
        <v>901</v>
      </c>
      <c r="C84" s="569" t="s">
        <v>780</v>
      </c>
      <c r="D84" s="688">
        <f>Data!B68</f>
        <v>0</v>
      </c>
      <c r="E84" s="688">
        <f>Data!C68</f>
        <v>0</v>
      </c>
      <c r="F84" s="688">
        <f>Data!D68</f>
        <v>0</v>
      </c>
      <c r="G84" s="538">
        <f>Data!E68</f>
        <v>0</v>
      </c>
      <c r="H84" s="689">
        <v>0</v>
      </c>
      <c r="I84" s="688">
        <f>IF(Data!$H$5="Actual", SUM(D84+E84+F84+G84)/4, SUM(D84+E84+F84)/3)</f>
        <v>0</v>
      </c>
      <c r="J84" s="696" t="str">
        <f>IF(I84&lt;&gt;0,IF((G84-I84)/I84&gt;0.15,"Explain",IF((G84-I84)/I84&lt;-0.15,"Explain","")),"")</f>
        <v/>
      </c>
      <c r="K84" s="728" t="str">
        <f>IF(I84&lt;&gt;0,IF((H84-I84)/I84&gt;0.15,"Explain",IF((H84-I84)/I84&lt; -0.15,"Explain","")),"")</f>
        <v/>
      </c>
      <c r="L84" s="78"/>
      <c r="M84" s="78"/>
      <c r="N84" s="57"/>
      <c r="O84" s="57"/>
      <c r="P84" s="57"/>
      <c r="Q84" s="57"/>
      <c r="R84" s="57"/>
    </row>
    <row r="85" spans="1:256" ht="15.75" customHeight="1" x14ac:dyDescent="0.25">
      <c r="A85" s="78"/>
      <c r="B85" s="583">
        <v>902</v>
      </c>
      <c r="C85" s="569" t="s">
        <v>468</v>
      </c>
      <c r="D85" s="642">
        <f>Data!B69</f>
        <v>0</v>
      </c>
      <c r="E85" s="642">
        <f>Data!C69</f>
        <v>0</v>
      </c>
      <c r="F85" s="642">
        <f>Data!D69</f>
        <v>0</v>
      </c>
      <c r="G85" s="641">
        <f>Data!E69</f>
        <v>0</v>
      </c>
      <c r="H85" s="658">
        <v>0</v>
      </c>
      <c r="I85" s="478">
        <f>IF(Data!$H$5="Actual", SUM(D85+E85+F85+G85)/4, SUM(D85+E85+F85)/3)</f>
        <v>0</v>
      </c>
      <c r="J85" s="696" t="str">
        <f>IF(I85&lt;&gt;0,IF((G85-I85)/I85&gt;0.15,"Explain",IF((G85-I85)/I85&lt;-0.15,"Explain","")),"")</f>
        <v/>
      </c>
      <c r="K85" s="728" t="str">
        <f>IF(I85&lt;&gt;0,IF((H85-I85)/I85&gt;0.15,"Explain",IF((H85-I85)/I85&lt; -0.15,"Explain","")),"")</f>
        <v/>
      </c>
      <c r="L85" s="78"/>
      <c r="M85" s="78"/>
      <c r="N85" s="57"/>
      <c r="O85" s="57"/>
      <c r="P85" s="57"/>
      <c r="Q85" s="57"/>
      <c r="R85" s="57"/>
    </row>
    <row r="86" spans="1:256" ht="15.75" customHeight="1" x14ac:dyDescent="0.25">
      <c r="A86" s="78"/>
      <c r="B86" s="583">
        <v>903</v>
      </c>
      <c r="C86" s="569" t="s">
        <v>781</v>
      </c>
      <c r="D86" s="642">
        <f>Data!B70</f>
        <v>0</v>
      </c>
      <c r="E86" s="642">
        <f>Data!C70</f>
        <v>0</v>
      </c>
      <c r="F86" s="642">
        <f>Data!D70</f>
        <v>0</v>
      </c>
      <c r="G86" s="641">
        <f>Data!E70</f>
        <v>0</v>
      </c>
      <c r="H86" s="658">
        <v>0</v>
      </c>
      <c r="I86" s="478">
        <f>IF(Data!$H$5="Actual", SUM(D86+E86+F86+G86)/4, SUM(D86+E86+F86)/3)</f>
        <v>0</v>
      </c>
      <c r="J86" s="696" t="str">
        <f>IF(I86&lt;&gt;0,IF((G86-I86)/I86&gt;0.15,"Explain",IF((G86-I86)/I86&lt;-0.15,"Explain","")),"")</f>
        <v/>
      </c>
      <c r="K86" s="728" t="str">
        <f>IF(I86&lt;&gt;0,IF((H86-I86)/I86&gt;0.15,"Explain",IF((H86-I86)/I86&lt; -0.15,"Explain","")),"")</f>
        <v/>
      </c>
      <c r="L86" s="78"/>
      <c r="M86" s="78"/>
      <c r="N86" s="57"/>
      <c r="O86" s="57"/>
      <c r="P86" s="57"/>
      <c r="Q86" s="57"/>
      <c r="R86" s="57"/>
    </row>
    <row r="87" spans="1:256" ht="15.75" customHeight="1" x14ac:dyDescent="0.25">
      <c r="A87" s="78"/>
      <c r="B87" s="583">
        <v>904</v>
      </c>
      <c r="C87" s="569" t="s">
        <v>471</v>
      </c>
      <c r="D87" s="642">
        <f>Data!B71</f>
        <v>0</v>
      </c>
      <c r="E87" s="642">
        <f>Data!C71</f>
        <v>0</v>
      </c>
      <c r="F87" s="642">
        <f>Data!D71</f>
        <v>0</v>
      </c>
      <c r="G87" s="641">
        <f>Data!E71</f>
        <v>0</v>
      </c>
      <c r="H87" s="658">
        <v>0</v>
      </c>
      <c r="I87" s="478">
        <f>IF(Data!$H$5="Actual", SUM(D87+E87+F87+G87)/4, SUM(D87+E87+F87)/3)</f>
        <v>0</v>
      </c>
      <c r="J87" s="696" t="str">
        <f>IF(I87&lt;&gt;0,IF((G87-I87)/I87&gt;0.15,"Explain",IF((G87-I87)/I87&lt;-0.15,"Explain","")),"")</f>
        <v/>
      </c>
      <c r="K87" s="728" t="str">
        <f>IF(I87&lt;&gt;0,IF((H87-I87)/I87&gt;0.15,"Explain",IF((H87-I87)/I87&lt; -0.15,"Explain","")),"")</f>
        <v/>
      </c>
      <c r="L87" s="78"/>
      <c r="M87" s="78"/>
      <c r="N87" s="57"/>
      <c r="O87" s="57"/>
      <c r="P87" s="57"/>
      <c r="Q87" s="57"/>
      <c r="R87" s="57"/>
    </row>
    <row r="88" spans="1:256" ht="15.75" customHeight="1" x14ac:dyDescent="0.25">
      <c r="A88" s="78"/>
      <c r="B88" s="583">
        <v>905</v>
      </c>
      <c r="C88" s="569" t="s">
        <v>782</v>
      </c>
      <c r="D88" s="642">
        <f>Data!B72</f>
        <v>0</v>
      </c>
      <c r="E88" s="642">
        <f>Data!C72</f>
        <v>0</v>
      </c>
      <c r="F88" s="642">
        <f>Data!D72</f>
        <v>0</v>
      </c>
      <c r="G88" s="641">
        <f>Data!E72</f>
        <v>0</v>
      </c>
      <c r="H88" s="658">
        <v>0</v>
      </c>
      <c r="I88" s="478">
        <f>IF(Data!$H$5="Actual", SUM(D88+E88+F88+G88)/4, SUM(D88+E88+F88)/3)</f>
        <v>0</v>
      </c>
      <c r="J88" s="696" t="str">
        <f>IF(I88&lt;&gt;0,IF((G88-I88)/I88&gt;0.15,"Explain",IF((G88-I88)/I88&lt;-0.15,"Explain","")),"")</f>
        <v/>
      </c>
      <c r="K88" s="728" t="str">
        <f>IF(I88&lt;&gt;0,IF((H88-I88)/I88&gt;0.15,"Explain",IF((H88-I88)/I88&lt; -0.15,"Explain","")),"")</f>
        <v/>
      </c>
      <c r="L88" s="78"/>
      <c r="M88" s="78"/>
      <c r="N88" s="57"/>
      <c r="O88" s="57"/>
      <c r="P88" s="57"/>
      <c r="Q88" s="57"/>
      <c r="R88" s="57"/>
    </row>
    <row r="89" spans="1:256" ht="15.75" customHeight="1" x14ac:dyDescent="0.25">
      <c r="A89" s="78"/>
      <c r="B89" s="583">
        <v>906</v>
      </c>
      <c r="C89" s="569" t="s">
        <v>783</v>
      </c>
      <c r="D89" s="642">
        <f>Data!B73</f>
        <v>0</v>
      </c>
      <c r="E89" s="642">
        <f>Data!C73</f>
        <v>0</v>
      </c>
      <c r="F89" s="642">
        <f>Data!D73</f>
        <v>0</v>
      </c>
      <c r="G89" s="641">
        <f>Data!E73</f>
        <v>0</v>
      </c>
      <c r="H89" s="658">
        <v>0</v>
      </c>
      <c r="I89" s="478">
        <f>IF(Data!$H$5="Actual", SUM(D89+E89+F89+G89)/4, SUM(D89+E89+F89)/3)</f>
        <v>0</v>
      </c>
      <c r="J89" s="729"/>
      <c r="K89" s="730"/>
      <c r="L89" s="78"/>
      <c r="M89" s="78"/>
      <c r="N89" s="57"/>
      <c r="O89" s="57"/>
      <c r="P89" s="57"/>
      <c r="Q89" s="57"/>
      <c r="R89" s="57"/>
    </row>
    <row r="90" spans="1:256" ht="15.75" customHeight="1" x14ac:dyDescent="0.25">
      <c r="A90" s="78"/>
      <c r="B90" s="583"/>
      <c r="C90" s="569"/>
      <c r="D90" s="651"/>
      <c r="E90" s="651"/>
      <c r="F90" s="651"/>
      <c r="G90" s="644"/>
      <c r="H90" s="644"/>
      <c r="I90" s="651"/>
      <c r="J90" s="729"/>
      <c r="K90" s="730"/>
      <c r="L90" s="78"/>
      <c r="M90" s="78"/>
      <c r="N90" s="57"/>
      <c r="O90" s="57"/>
      <c r="P90" s="57"/>
      <c r="Q90" s="57"/>
      <c r="R90" s="57"/>
    </row>
    <row r="91" spans="1:256" ht="15.75" customHeight="1" x14ac:dyDescent="0.25">
      <c r="A91" s="78"/>
      <c r="B91" s="583"/>
      <c r="C91" s="569" t="s">
        <v>473</v>
      </c>
      <c r="D91" s="702">
        <f t="shared" ref="D91:I91" si="12">SUM(D84:D89)</f>
        <v>0</v>
      </c>
      <c r="E91" s="702">
        <f t="shared" si="12"/>
        <v>0</v>
      </c>
      <c r="F91" s="702">
        <f t="shared" si="12"/>
        <v>0</v>
      </c>
      <c r="G91" s="702">
        <f t="shared" si="12"/>
        <v>0</v>
      </c>
      <c r="H91" s="702">
        <f t="shared" si="12"/>
        <v>0</v>
      </c>
      <c r="I91" s="702">
        <f t="shared" si="12"/>
        <v>0</v>
      </c>
      <c r="J91" s="656"/>
      <c r="K91" s="657"/>
      <c r="L91" s="78"/>
      <c r="M91" s="78"/>
      <c r="N91" s="57"/>
      <c r="O91" s="57"/>
      <c r="P91" s="57"/>
      <c r="Q91" s="57"/>
      <c r="R91" s="57"/>
    </row>
    <row r="92" spans="1:256" ht="15.75" customHeight="1" x14ac:dyDescent="0.25">
      <c r="A92" s="78"/>
      <c r="B92" s="583"/>
      <c r="C92" s="569"/>
      <c r="D92" s="673"/>
      <c r="E92" s="673"/>
      <c r="F92" s="640"/>
      <c r="G92" s="538"/>
      <c r="H92" s="538"/>
      <c r="I92" s="640"/>
      <c r="J92" s="729"/>
      <c r="K92" s="730"/>
      <c r="L92" s="78"/>
      <c r="M92" s="78"/>
      <c r="N92" s="57"/>
      <c r="O92" s="57"/>
      <c r="P92" s="57"/>
      <c r="Q92" s="57"/>
      <c r="R92" s="57"/>
    </row>
    <row r="93" spans="1:256" ht="15.75" customHeight="1" x14ac:dyDescent="0.25">
      <c r="A93" s="78"/>
      <c r="B93" s="583">
        <v>910</v>
      </c>
      <c r="C93" s="569" t="s">
        <v>474</v>
      </c>
      <c r="D93" s="703">
        <f>Data!B74</f>
        <v>0</v>
      </c>
      <c r="E93" s="703">
        <f>Data!C74</f>
        <v>0</v>
      </c>
      <c r="F93" s="703">
        <f>Data!D74</f>
        <v>0</v>
      </c>
      <c r="G93" s="646">
        <f>Data!E74</f>
        <v>0</v>
      </c>
      <c r="H93" s="689">
        <v>0</v>
      </c>
      <c r="I93" s="703">
        <f>IF(Data!$H$5="Actual", SUM(D93+E93+F93+G93)/4, SUM(D93+E93+F93)/3)</f>
        <v>0</v>
      </c>
      <c r="J93" s="696" t="str">
        <f>IF(I93&lt;&gt;0,IF((G93-I93)/I93&gt;0.15,"Explain",IF((G93-I93)/I93&lt;-0.15,"Explain","")),"")</f>
        <v/>
      </c>
      <c r="K93" s="728" t="str">
        <f>IF(G93&lt;&gt;0,IF((H93-G93)/G93&gt;0.15,"Explain",IF((H93-G93)/G93&lt;-0.15,"Explain","")),"")</f>
        <v/>
      </c>
      <c r="L93" s="78"/>
      <c r="M93" s="78"/>
      <c r="N93" s="57"/>
      <c r="O93" s="57"/>
      <c r="P93" s="57"/>
      <c r="Q93" s="57"/>
      <c r="R93" s="57"/>
    </row>
    <row r="94" spans="1:256" ht="15.75" customHeight="1" x14ac:dyDescent="0.25">
      <c r="A94" s="78"/>
      <c r="B94" s="664"/>
      <c r="C94" s="569"/>
      <c r="D94" s="688"/>
      <c r="E94" s="688"/>
      <c r="F94" s="688"/>
      <c r="G94" s="538"/>
      <c r="H94" s="538"/>
      <c r="I94" s="688"/>
      <c r="J94" s="656"/>
      <c r="K94" s="657"/>
      <c r="L94" s="78"/>
      <c r="M94" s="78"/>
      <c r="N94" s="57"/>
      <c r="O94" s="57"/>
      <c r="P94" s="57"/>
      <c r="Q94" s="57"/>
      <c r="R94" s="57"/>
    </row>
    <row r="95" spans="1:256" ht="15.75" customHeight="1" x14ac:dyDescent="0.25">
      <c r="A95" s="78"/>
      <c r="B95" s="665">
        <v>920</v>
      </c>
      <c r="C95" s="569" t="s">
        <v>475</v>
      </c>
      <c r="D95" s="688">
        <f>Data!B75</f>
        <v>0</v>
      </c>
      <c r="E95" s="688">
        <f>Data!C75</f>
        <v>0</v>
      </c>
      <c r="F95" s="688">
        <f>Data!D75</f>
        <v>0</v>
      </c>
      <c r="G95" s="538">
        <f>Data!E75</f>
        <v>0</v>
      </c>
      <c r="H95" s="689">
        <v>0</v>
      </c>
      <c r="I95" s="688">
        <f>IF(Data!$H$5="Actual", SUM(D95+E95+F95+G95)/4, SUM(D95+E95+F95)/3)</f>
        <v>0</v>
      </c>
      <c r="J95" s="696" t="str">
        <f t="shared" ref="J95:J106" si="13">IF(I95&lt;&gt;0,IF((G95-I95)/I95&gt;0.15,"Explain",IF((G95-I95)/I95&lt;-0.15,"Explain","")),"")</f>
        <v/>
      </c>
      <c r="K95" s="728" t="str">
        <f t="shared" ref="K95:K106" si="14">IF(I95&lt;&gt;0,IF((H95-I95)/I95&gt;0.15,"Explain",IF((H95-I95)/I95&lt; -0.15,"Explain","")),"")</f>
        <v/>
      </c>
      <c r="L95" s="78"/>
      <c r="M95" s="78"/>
      <c r="N95" s="57"/>
      <c r="O95" s="57"/>
      <c r="P95" s="57"/>
      <c r="Q95" s="57"/>
      <c r="R95" s="57"/>
    </row>
    <row r="96" spans="1:256" ht="15.75" customHeight="1" x14ac:dyDescent="0.25">
      <c r="A96" s="78"/>
      <c r="B96" s="583">
        <v>921</v>
      </c>
      <c r="C96" s="569" t="s">
        <v>476</v>
      </c>
      <c r="D96" s="478">
        <f>Data!B76</f>
        <v>0</v>
      </c>
      <c r="E96" s="478">
        <f>Data!C76</f>
        <v>0</v>
      </c>
      <c r="F96" s="478">
        <f>Data!D76</f>
        <v>0</v>
      </c>
      <c r="G96" s="480">
        <f>Data!E76</f>
        <v>0</v>
      </c>
      <c r="H96" s="476">
        <v>0</v>
      </c>
      <c r="I96" s="478">
        <f>IF(Data!$H$5="Actual", SUM(D96+E96+F96+G96)/4, SUM(D96+E96+F96)/3)</f>
        <v>0</v>
      </c>
      <c r="J96" s="696" t="str">
        <f t="shared" si="13"/>
        <v/>
      </c>
      <c r="K96" s="728" t="str">
        <f t="shared" si="14"/>
        <v/>
      </c>
      <c r="L96" s="78"/>
      <c r="M96" s="78"/>
      <c r="N96" s="57"/>
      <c r="O96" s="57"/>
      <c r="P96" s="57"/>
      <c r="Q96" s="57"/>
      <c r="R96" s="57"/>
    </row>
    <row r="97" spans="1:256" ht="15.75" customHeight="1" x14ac:dyDescent="0.25">
      <c r="A97" s="78"/>
      <c r="B97" s="583">
        <v>922</v>
      </c>
      <c r="C97" s="569" t="s">
        <v>477</v>
      </c>
      <c r="D97" s="478">
        <f>Data!B77</f>
        <v>0</v>
      </c>
      <c r="E97" s="478">
        <f>Data!C77</f>
        <v>0</v>
      </c>
      <c r="F97" s="478">
        <f>Data!D77</f>
        <v>0</v>
      </c>
      <c r="G97" s="480">
        <f>Data!E77</f>
        <v>0</v>
      </c>
      <c r="H97" s="476">
        <v>0</v>
      </c>
      <c r="I97" s="478">
        <f>IF(Data!$H$5="Actual", SUM(D97+E97+F97+G97)/4, SUM(D97+E97+F97)/3)</f>
        <v>0</v>
      </c>
      <c r="J97" s="696" t="str">
        <f t="shared" si="13"/>
        <v/>
      </c>
      <c r="K97" s="728" t="str">
        <f t="shared" si="14"/>
        <v/>
      </c>
      <c r="L97" s="78"/>
      <c r="M97" s="78"/>
      <c r="N97" s="57"/>
      <c r="O97" s="57"/>
      <c r="P97" s="57"/>
      <c r="Q97" s="57"/>
      <c r="R97" s="57"/>
    </row>
    <row r="98" spans="1:256" ht="15.75" customHeight="1" x14ac:dyDescent="0.25">
      <c r="A98" s="78"/>
      <c r="B98" s="583">
        <v>923</v>
      </c>
      <c r="C98" s="569" t="s">
        <v>478</v>
      </c>
      <c r="D98" s="478">
        <f>Data!B78</f>
        <v>0</v>
      </c>
      <c r="E98" s="478">
        <f>Data!C78</f>
        <v>0</v>
      </c>
      <c r="F98" s="478">
        <f>Data!D78</f>
        <v>0</v>
      </c>
      <c r="G98" s="480">
        <f>Data!E78</f>
        <v>0</v>
      </c>
      <c r="H98" s="476">
        <v>0</v>
      </c>
      <c r="I98" s="478">
        <f>IF(Data!$H$5="Actual", SUM(D98+E98+F98+G98)/4, SUM(D98+E98+F98)/3)</f>
        <v>0</v>
      </c>
      <c r="J98" s="696" t="str">
        <f t="shared" si="13"/>
        <v/>
      </c>
      <c r="K98" s="728" t="str">
        <f t="shared" si="14"/>
        <v/>
      </c>
      <c r="L98" s="78"/>
      <c r="M98" s="78"/>
      <c r="N98" s="57"/>
      <c r="O98" s="57"/>
      <c r="P98" s="57"/>
      <c r="Q98" s="57"/>
      <c r="R98" s="57"/>
    </row>
    <row r="99" spans="1:256" ht="15.75" customHeight="1" x14ac:dyDescent="0.25">
      <c r="A99" s="78"/>
      <c r="B99" s="583">
        <v>924</v>
      </c>
      <c r="C99" s="569" t="s">
        <v>479</v>
      </c>
      <c r="D99" s="478">
        <f>Data!B79</f>
        <v>0</v>
      </c>
      <c r="E99" s="478">
        <f>Data!C79</f>
        <v>0</v>
      </c>
      <c r="F99" s="478">
        <f>Data!D79</f>
        <v>0</v>
      </c>
      <c r="G99" s="480">
        <f>Data!E79</f>
        <v>0</v>
      </c>
      <c r="H99" s="476">
        <v>0</v>
      </c>
      <c r="I99" s="478">
        <f>IF(Data!$H$5="Actual", SUM(D99+E99+F99+G99)/4, SUM(D99+E99+F99)/3)</f>
        <v>0</v>
      </c>
      <c r="J99" s="696" t="str">
        <f t="shared" si="13"/>
        <v/>
      </c>
      <c r="K99" s="728" t="str">
        <f t="shared" si="14"/>
        <v/>
      </c>
      <c r="L99" s="78"/>
      <c r="M99" s="78"/>
      <c r="N99" s="57"/>
      <c r="O99" s="57"/>
      <c r="P99" s="57"/>
      <c r="Q99" s="57"/>
      <c r="R99" s="57"/>
    </row>
    <row r="100" spans="1:256" ht="15.75" customHeight="1" x14ac:dyDescent="0.25">
      <c r="A100" s="78"/>
      <c r="B100" s="583">
        <v>925</v>
      </c>
      <c r="C100" s="569" t="s">
        <v>480</v>
      </c>
      <c r="D100" s="478">
        <f>Data!B80</f>
        <v>0</v>
      </c>
      <c r="E100" s="478">
        <f>Data!C80</f>
        <v>0</v>
      </c>
      <c r="F100" s="478">
        <f>Data!D80</f>
        <v>0</v>
      </c>
      <c r="G100" s="480">
        <f>Data!E80</f>
        <v>0</v>
      </c>
      <c r="H100" s="476">
        <v>0</v>
      </c>
      <c r="I100" s="478">
        <f>IF(Data!$H$5="Actual", SUM(D100+E100+F100+G100)/4, SUM(D100+E100+F100)/3)</f>
        <v>0</v>
      </c>
      <c r="J100" s="696" t="str">
        <f t="shared" si="13"/>
        <v/>
      </c>
      <c r="K100" s="728" t="str">
        <f t="shared" si="14"/>
        <v/>
      </c>
      <c r="L100" s="78"/>
      <c r="M100" s="78"/>
      <c r="N100" s="57"/>
      <c r="O100" s="57"/>
      <c r="P100" s="57"/>
      <c r="Q100" s="57"/>
      <c r="R100" s="57"/>
    </row>
    <row r="101" spans="1:256" ht="15.75" customHeight="1" x14ac:dyDescent="0.25">
      <c r="A101" s="78"/>
      <c r="B101" s="583">
        <v>926</v>
      </c>
      <c r="C101" s="569" t="s">
        <v>481</v>
      </c>
      <c r="D101" s="478">
        <f>Data!B81</f>
        <v>0</v>
      </c>
      <c r="E101" s="478">
        <f>Data!C81</f>
        <v>0</v>
      </c>
      <c r="F101" s="478">
        <f>Data!D81</f>
        <v>0</v>
      </c>
      <c r="G101" s="480">
        <f>Data!E81</f>
        <v>0</v>
      </c>
      <c r="H101" s="476">
        <v>0</v>
      </c>
      <c r="I101" s="478">
        <f>IF(Data!$H$5="Actual", SUM(D101+E101+F101+G101)/4, SUM(D101+E101+F101)/3)</f>
        <v>0</v>
      </c>
      <c r="J101" s="696" t="str">
        <f t="shared" si="13"/>
        <v/>
      </c>
      <c r="K101" s="728" t="str">
        <f t="shared" si="14"/>
        <v/>
      </c>
      <c r="L101" s="78"/>
      <c r="M101" s="78"/>
      <c r="N101" s="57"/>
      <c r="O101" s="57"/>
      <c r="P101" s="57"/>
      <c r="Q101" s="57"/>
      <c r="R101" s="57"/>
    </row>
    <row r="102" spans="1:256" ht="15.75" customHeight="1" x14ac:dyDescent="0.25">
      <c r="A102" s="78"/>
      <c r="B102" s="583">
        <v>928</v>
      </c>
      <c r="C102" s="569" t="s">
        <v>482</v>
      </c>
      <c r="D102" s="478">
        <f>Data!B82</f>
        <v>0</v>
      </c>
      <c r="E102" s="478">
        <f>Data!C82</f>
        <v>0</v>
      </c>
      <c r="F102" s="478">
        <f>Data!D82</f>
        <v>0</v>
      </c>
      <c r="G102" s="480">
        <f>Data!E82</f>
        <v>0</v>
      </c>
      <c r="H102" s="476">
        <v>0</v>
      </c>
      <c r="I102" s="478">
        <f>IF(Data!$H$5="Actual", SUM(D102+E102+F102+G102)/4, SUM(D102+E102+F102)/3)</f>
        <v>0</v>
      </c>
      <c r="J102" s="696" t="str">
        <f t="shared" si="13"/>
        <v/>
      </c>
      <c r="K102" s="728" t="str">
        <f t="shared" si="14"/>
        <v/>
      </c>
      <c r="L102" s="78"/>
      <c r="M102" s="78"/>
      <c r="N102" s="57"/>
      <c r="O102" s="57"/>
      <c r="P102" s="57"/>
      <c r="Q102" s="57"/>
      <c r="R102" s="57"/>
    </row>
    <row r="103" spans="1:256" ht="15.75" customHeight="1" x14ac:dyDescent="0.25">
      <c r="A103" s="78"/>
      <c r="B103" s="583">
        <v>929</v>
      </c>
      <c r="C103" s="569" t="s">
        <v>784</v>
      </c>
      <c r="D103" s="478">
        <f>Data!B83</f>
        <v>0</v>
      </c>
      <c r="E103" s="478">
        <f>Data!C83</f>
        <v>0</v>
      </c>
      <c r="F103" s="478">
        <f>Data!D83</f>
        <v>0</v>
      </c>
      <c r="G103" s="480">
        <f>Data!E83</f>
        <v>0</v>
      </c>
      <c r="H103" s="476">
        <v>0</v>
      </c>
      <c r="I103" s="478">
        <f>IF(Data!$H$5="Actual", SUM(D103+E103+F103+G103)/4, SUM(D103+E103+F103)/3)</f>
        <v>0</v>
      </c>
      <c r="J103" s="696" t="str">
        <f t="shared" si="13"/>
        <v/>
      </c>
      <c r="K103" s="728" t="str">
        <f t="shared" si="14"/>
        <v/>
      </c>
      <c r="L103" s="78"/>
      <c r="M103" s="78"/>
      <c r="N103" s="57"/>
      <c r="O103" s="57"/>
      <c r="P103" s="57"/>
      <c r="Q103" s="57"/>
      <c r="R103" s="57"/>
    </row>
    <row r="104" spans="1:256" s="27" customFormat="1" ht="15.75" customHeight="1" x14ac:dyDescent="0.25">
      <c r="A104" s="79"/>
      <c r="B104" s="583">
        <v>930</v>
      </c>
      <c r="C104" s="569" t="s">
        <v>483</v>
      </c>
      <c r="D104" s="478">
        <f>Data!B84</f>
        <v>0</v>
      </c>
      <c r="E104" s="478">
        <f>Data!C84</f>
        <v>0</v>
      </c>
      <c r="F104" s="478">
        <f>Data!D84</f>
        <v>0</v>
      </c>
      <c r="G104" s="480">
        <f>Data!E84</f>
        <v>0</v>
      </c>
      <c r="H104" s="476">
        <v>0</v>
      </c>
      <c r="I104" s="478">
        <f>IF(Data!$H$5="Actual", SUM(D104+E104+F104+G104)/4, SUM(D104+E104+F104)/3)</f>
        <v>0</v>
      </c>
      <c r="J104" s="696" t="str">
        <f t="shared" si="13"/>
        <v/>
      </c>
      <c r="K104" s="728" t="str">
        <f t="shared" si="14"/>
        <v/>
      </c>
      <c r="L104" s="79"/>
      <c r="M104" s="79"/>
      <c r="N104" s="1849"/>
      <c r="O104" s="1849"/>
      <c r="P104" s="1849"/>
      <c r="Q104" s="1849"/>
      <c r="R104" s="1849"/>
      <c r="S104" s="1859"/>
      <c r="T104" s="1859"/>
      <c r="U104" s="1859"/>
      <c r="V104" s="1859"/>
      <c r="W104" s="1859"/>
      <c r="X104" s="1859"/>
      <c r="Y104" s="1859"/>
      <c r="Z104" s="1859"/>
      <c r="AA104" s="1859"/>
      <c r="AB104" s="1859"/>
      <c r="AC104" s="1859"/>
      <c r="AD104" s="1859"/>
      <c r="AE104" s="1859"/>
      <c r="AF104" s="1859"/>
      <c r="AG104" s="1859"/>
      <c r="AH104" s="1859"/>
      <c r="AI104" s="1859"/>
      <c r="AJ104" s="1859"/>
      <c r="AK104" s="1859"/>
      <c r="AL104" s="1859"/>
      <c r="AM104" s="1859"/>
      <c r="AN104" s="1859"/>
      <c r="AO104" s="1859"/>
      <c r="AP104" s="1859"/>
      <c r="AQ104" s="1859"/>
      <c r="AR104" s="1859"/>
      <c r="AS104" s="1859"/>
      <c r="AT104" s="1859"/>
      <c r="AU104" s="1859"/>
      <c r="AV104" s="1859"/>
      <c r="AW104" s="1859"/>
      <c r="AX104" s="1859"/>
      <c r="AY104" s="1859"/>
      <c r="AZ104" s="1859"/>
      <c r="BA104" s="1859"/>
      <c r="BB104" s="1859"/>
      <c r="BC104" s="1859"/>
      <c r="BD104" s="1859"/>
      <c r="BE104" s="1859"/>
      <c r="BF104" s="1859"/>
      <c r="BG104" s="1859"/>
      <c r="BH104" s="1859"/>
      <c r="BI104" s="1859"/>
      <c r="BJ104" s="1859"/>
      <c r="BK104" s="1859"/>
      <c r="BL104" s="1859"/>
      <c r="BM104" s="1859"/>
      <c r="BN104" s="1859"/>
      <c r="BO104" s="1859"/>
      <c r="BP104" s="1859"/>
      <c r="BQ104" s="1859"/>
      <c r="BR104" s="1859"/>
      <c r="BS104" s="1859"/>
      <c r="BT104" s="1859"/>
      <c r="BU104" s="1859"/>
      <c r="BV104" s="1859"/>
      <c r="BW104" s="1859"/>
      <c r="BX104" s="1859"/>
      <c r="BY104" s="1859"/>
      <c r="BZ104" s="1859"/>
      <c r="CA104" s="1859"/>
      <c r="CB104" s="1859"/>
      <c r="CC104" s="1859"/>
      <c r="CD104" s="1859"/>
      <c r="CE104" s="1859"/>
      <c r="CF104" s="1859"/>
      <c r="CG104" s="1859"/>
      <c r="CH104" s="1859"/>
      <c r="CI104" s="1859"/>
      <c r="CJ104" s="1859"/>
      <c r="CK104" s="1859"/>
      <c r="CL104" s="1859"/>
      <c r="CM104" s="1859"/>
      <c r="CN104" s="1859"/>
      <c r="CO104" s="1859"/>
      <c r="CP104" s="1859"/>
      <c r="CQ104" s="1859"/>
      <c r="CR104" s="1859"/>
      <c r="CS104" s="1859"/>
      <c r="CT104" s="1859"/>
      <c r="CU104" s="1859"/>
      <c r="CV104" s="1859"/>
      <c r="CW104" s="1859"/>
      <c r="CX104" s="1859"/>
      <c r="CY104" s="1859"/>
      <c r="CZ104" s="1859"/>
      <c r="DA104" s="1859"/>
      <c r="DB104" s="1859"/>
      <c r="DC104" s="1859"/>
      <c r="DD104" s="1859"/>
      <c r="DE104" s="1859"/>
      <c r="DF104" s="1859"/>
      <c r="DG104" s="1859"/>
      <c r="DH104" s="1859"/>
      <c r="DI104" s="1859"/>
      <c r="DJ104" s="1859"/>
      <c r="DK104" s="1859"/>
      <c r="DL104" s="1859"/>
      <c r="DM104" s="1859"/>
      <c r="DN104" s="1859"/>
      <c r="DO104" s="1859"/>
      <c r="DP104" s="1859"/>
      <c r="DQ104" s="1859"/>
      <c r="DR104" s="1859"/>
      <c r="DS104" s="1859"/>
      <c r="DT104" s="1859"/>
      <c r="DU104" s="1859"/>
      <c r="DV104" s="1859"/>
      <c r="DW104" s="1859"/>
      <c r="DX104" s="1859"/>
      <c r="DY104" s="1859"/>
      <c r="DZ104" s="1859"/>
      <c r="EA104" s="1859"/>
      <c r="EB104" s="1859"/>
      <c r="EC104" s="1859"/>
      <c r="ED104" s="1859"/>
      <c r="EE104" s="1859"/>
      <c r="EF104" s="1859"/>
      <c r="EG104" s="1859"/>
      <c r="EH104" s="1859"/>
      <c r="EI104" s="1859"/>
      <c r="EJ104" s="1859"/>
      <c r="EK104" s="1859"/>
      <c r="EL104" s="1859"/>
      <c r="EM104" s="1859"/>
      <c r="EN104" s="1859"/>
      <c r="EO104" s="1859"/>
      <c r="EP104" s="1859"/>
      <c r="EQ104" s="1859"/>
      <c r="ER104" s="1859"/>
      <c r="ES104" s="1859"/>
      <c r="ET104" s="1859"/>
      <c r="EU104" s="1859"/>
      <c r="EV104" s="1859"/>
      <c r="EW104" s="1859"/>
      <c r="EX104" s="1859"/>
      <c r="EY104" s="1859"/>
      <c r="EZ104" s="1859"/>
      <c r="FA104" s="1859"/>
      <c r="FB104" s="1859"/>
      <c r="FC104" s="1859"/>
      <c r="FD104" s="1859"/>
      <c r="FE104" s="1859"/>
      <c r="FF104" s="1859"/>
      <c r="FG104" s="1859"/>
      <c r="FH104" s="1859"/>
      <c r="FI104" s="1859"/>
      <c r="FJ104" s="1859"/>
      <c r="FK104" s="1859"/>
      <c r="FL104" s="1859"/>
      <c r="FM104" s="1859"/>
      <c r="FN104" s="1859"/>
      <c r="FO104" s="1859"/>
      <c r="FP104" s="1859"/>
      <c r="FQ104" s="1859"/>
      <c r="FR104" s="1859"/>
      <c r="FS104" s="1859"/>
      <c r="FT104" s="1859"/>
      <c r="FU104" s="1859"/>
      <c r="FV104" s="1859"/>
      <c r="FW104" s="1859"/>
      <c r="FX104" s="1859"/>
      <c r="FY104" s="1859"/>
      <c r="FZ104" s="1859"/>
      <c r="GA104" s="1859"/>
      <c r="GB104" s="1859"/>
      <c r="GC104" s="1859"/>
      <c r="GD104" s="1859"/>
      <c r="GE104" s="1859"/>
      <c r="GF104" s="1859"/>
      <c r="GG104" s="1859"/>
      <c r="GH104" s="1859"/>
      <c r="GI104" s="1859"/>
      <c r="GJ104" s="1859"/>
      <c r="GK104" s="1859"/>
      <c r="GL104" s="1859"/>
      <c r="GM104" s="1859"/>
      <c r="GN104" s="1859"/>
      <c r="GO104" s="1859"/>
      <c r="GP104" s="1859"/>
      <c r="GQ104" s="1859"/>
      <c r="GR104" s="1859"/>
      <c r="GS104" s="1859"/>
      <c r="GT104" s="1859"/>
      <c r="GU104" s="1859"/>
      <c r="GV104" s="1859"/>
      <c r="GW104" s="1859"/>
      <c r="GX104" s="1859"/>
      <c r="GY104" s="1859"/>
      <c r="GZ104" s="1859"/>
      <c r="HA104" s="1859"/>
      <c r="HB104" s="1859"/>
      <c r="HC104" s="1859"/>
      <c r="HD104" s="1859"/>
      <c r="HE104" s="1859"/>
      <c r="HF104" s="1859"/>
      <c r="HG104" s="1859"/>
      <c r="HH104" s="1859"/>
      <c r="HI104" s="1859"/>
      <c r="HJ104" s="1859"/>
      <c r="HK104" s="1859"/>
      <c r="HL104" s="1859"/>
      <c r="HM104" s="1859"/>
      <c r="HN104" s="1859"/>
      <c r="HO104" s="1859"/>
      <c r="HP104" s="1859"/>
      <c r="HQ104" s="1859"/>
      <c r="HR104" s="1859"/>
      <c r="HS104" s="1859"/>
      <c r="HT104" s="1859"/>
      <c r="HU104" s="1859"/>
      <c r="HV104" s="1859"/>
      <c r="HW104" s="1859"/>
      <c r="HX104" s="1859"/>
      <c r="HY104" s="1859"/>
      <c r="HZ104" s="1859"/>
      <c r="IA104" s="1859"/>
      <c r="IB104" s="1859"/>
      <c r="IC104" s="1859"/>
      <c r="ID104" s="1859"/>
      <c r="IE104" s="1859"/>
      <c r="IF104" s="1859"/>
      <c r="IG104" s="1859"/>
      <c r="IH104" s="1859"/>
      <c r="II104" s="1859"/>
      <c r="IJ104" s="1859"/>
      <c r="IK104" s="1859"/>
      <c r="IL104" s="1859"/>
      <c r="IM104" s="1859"/>
      <c r="IN104" s="1859"/>
      <c r="IO104" s="1859"/>
      <c r="IP104" s="1859"/>
      <c r="IQ104" s="1859"/>
      <c r="IR104" s="1859"/>
      <c r="IS104" s="1859"/>
      <c r="IT104" s="1859"/>
      <c r="IU104" s="1859"/>
      <c r="IV104" s="1859"/>
    </row>
    <row r="105" spans="1:256" s="27" customFormat="1" ht="15.75" customHeight="1" x14ac:dyDescent="0.25">
      <c r="A105" s="79"/>
      <c r="B105" s="583">
        <v>931</v>
      </c>
      <c r="C105" s="569" t="s">
        <v>755</v>
      </c>
      <c r="D105" s="478">
        <f>Data!B85</f>
        <v>0</v>
      </c>
      <c r="E105" s="478">
        <f>Data!C85</f>
        <v>0</v>
      </c>
      <c r="F105" s="478">
        <f>Data!D85</f>
        <v>0</v>
      </c>
      <c r="G105" s="480">
        <f>Data!E85</f>
        <v>0</v>
      </c>
      <c r="H105" s="476">
        <v>0</v>
      </c>
      <c r="I105" s="478">
        <f>IF(Data!$H$5="Actual", SUM(D105+E105+F105+G105)/4, SUM(D105+E105+F105)/3)</f>
        <v>0</v>
      </c>
      <c r="J105" s="696" t="str">
        <f t="shared" si="13"/>
        <v/>
      </c>
      <c r="K105" s="728" t="str">
        <f t="shared" si="14"/>
        <v/>
      </c>
      <c r="L105" s="79"/>
      <c r="M105" s="79"/>
      <c r="N105" s="1849"/>
      <c r="O105" s="1849"/>
      <c r="P105" s="1849"/>
      <c r="Q105" s="1849"/>
      <c r="R105" s="1849"/>
      <c r="S105" s="1859"/>
      <c r="T105" s="1859"/>
      <c r="U105" s="1859"/>
      <c r="V105" s="1859"/>
      <c r="W105" s="1859"/>
      <c r="X105" s="1859"/>
      <c r="Y105" s="1859"/>
      <c r="Z105" s="1859"/>
      <c r="AA105" s="1859"/>
      <c r="AB105" s="1859"/>
      <c r="AC105" s="1859"/>
      <c r="AD105" s="1859"/>
      <c r="AE105" s="1859"/>
      <c r="AF105" s="1859"/>
      <c r="AG105" s="1859"/>
      <c r="AH105" s="1859"/>
      <c r="AI105" s="1859"/>
      <c r="AJ105" s="1859"/>
      <c r="AK105" s="1859"/>
      <c r="AL105" s="1859"/>
      <c r="AM105" s="1859"/>
      <c r="AN105" s="1859"/>
      <c r="AO105" s="1859"/>
      <c r="AP105" s="1859"/>
      <c r="AQ105" s="1859"/>
      <c r="AR105" s="1859"/>
      <c r="AS105" s="1859"/>
      <c r="AT105" s="1859"/>
      <c r="AU105" s="1859"/>
      <c r="AV105" s="1859"/>
      <c r="AW105" s="1859"/>
      <c r="AX105" s="1859"/>
      <c r="AY105" s="1859"/>
      <c r="AZ105" s="1859"/>
      <c r="BA105" s="1859"/>
      <c r="BB105" s="1859"/>
      <c r="BC105" s="1859"/>
      <c r="BD105" s="1859"/>
      <c r="BE105" s="1859"/>
      <c r="BF105" s="1859"/>
      <c r="BG105" s="1859"/>
      <c r="BH105" s="1859"/>
      <c r="BI105" s="1859"/>
      <c r="BJ105" s="1859"/>
      <c r="BK105" s="1859"/>
      <c r="BL105" s="1859"/>
      <c r="BM105" s="1859"/>
      <c r="BN105" s="1859"/>
      <c r="BO105" s="1859"/>
      <c r="BP105" s="1859"/>
      <c r="BQ105" s="1859"/>
      <c r="BR105" s="1859"/>
      <c r="BS105" s="1859"/>
      <c r="BT105" s="1859"/>
      <c r="BU105" s="1859"/>
      <c r="BV105" s="1859"/>
      <c r="BW105" s="1859"/>
      <c r="BX105" s="1859"/>
      <c r="BY105" s="1859"/>
      <c r="BZ105" s="1859"/>
      <c r="CA105" s="1859"/>
      <c r="CB105" s="1859"/>
      <c r="CC105" s="1859"/>
      <c r="CD105" s="1859"/>
      <c r="CE105" s="1859"/>
      <c r="CF105" s="1859"/>
      <c r="CG105" s="1859"/>
      <c r="CH105" s="1859"/>
      <c r="CI105" s="1859"/>
      <c r="CJ105" s="1859"/>
      <c r="CK105" s="1859"/>
      <c r="CL105" s="1859"/>
      <c r="CM105" s="1859"/>
      <c r="CN105" s="1859"/>
      <c r="CO105" s="1859"/>
      <c r="CP105" s="1859"/>
      <c r="CQ105" s="1859"/>
      <c r="CR105" s="1859"/>
      <c r="CS105" s="1859"/>
      <c r="CT105" s="1859"/>
      <c r="CU105" s="1859"/>
      <c r="CV105" s="1859"/>
      <c r="CW105" s="1859"/>
      <c r="CX105" s="1859"/>
      <c r="CY105" s="1859"/>
      <c r="CZ105" s="1859"/>
      <c r="DA105" s="1859"/>
      <c r="DB105" s="1859"/>
      <c r="DC105" s="1859"/>
      <c r="DD105" s="1859"/>
      <c r="DE105" s="1859"/>
      <c r="DF105" s="1859"/>
      <c r="DG105" s="1859"/>
      <c r="DH105" s="1859"/>
      <c r="DI105" s="1859"/>
      <c r="DJ105" s="1859"/>
      <c r="DK105" s="1859"/>
      <c r="DL105" s="1859"/>
      <c r="DM105" s="1859"/>
      <c r="DN105" s="1859"/>
      <c r="DO105" s="1859"/>
      <c r="DP105" s="1859"/>
      <c r="DQ105" s="1859"/>
      <c r="DR105" s="1859"/>
      <c r="DS105" s="1859"/>
      <c r="DT105" s="1859"/>
      <c r="DU105" s="1859"/>
      <c r="DV105" s="1859"/>
      <c r="DW105" s="1859"/>
      <c r="DX105" s="1859"/>
      <c r="DY105" s="1859"/>
      <c r="DZ105" s="1859"/>
      <c r="EA105" s="1859"/>
      <c r="EB105" s="1859"/>
      <c r="EC105" s="1859"/>
      <c r="ED105" s="1859"/>
      <c r="EE105" s="1859"/>
      <c r="EF105" s="1859"/>
      <c r="EG105" s="1859"/>
      <c r="EH105" s="1859"/>
      <c r="EI105" s="1859"/>
      <c r="EJ105" s="1859"/>
      <c r="EK105" s="1859"/>
      <c r="EL105" s="1859"/>
      <c r="EM105" s="1859"/>
      <c r="EN105" s="1859"/>
      <c r="EO105" s="1859"/>
      <c r="EP105" s="1859"/>
      <c r="EQ105" s="1859"/>
      <c r="ER105" s="1859"/>
      <c r="ES105" s="1859"/>
      <c r="ET105" s="1859"/>
      <c r="EU105" s="1859"/>
      <c r="EV105" s="1859"/>
      <c r="EW105" s="1859"/>
      <c r="EX105" s="1859"/>
      <c r="EY105" s="1859"/>
      <c r="EZ105" s="1859"/>
      <c r="FA105" s="1859"/>
      <c r="FB105" s="1859"/>
      <c r="FC105" s="1859"/>
      <c r="FD105" s="1859"/>
      <c r="FE105" s="1859"/>
      <c r="FF105" s="1859"/>
      <c r="FG105" s="1859"/>
      <c r="FH105" s="1859"/>
      <c r="FI105" s="1859"/>
      <c r="FJ105" s="1859"/>
      <c r="FK105" s="1859"/>
      <c r="FL105" s="1859"/>
      <c r="FM105" s="1859"/>
      <c r="FN105" s="1859"/>
      <c r="FO105" s="1859"/>
      <c r="FP105" s="1859"/>
      <c r="FQ105" s="1859"/>
      <c r="FR105" s="1859"/>
      <c r="FS105" s="1859"/>
      <c r="FT105" s="1859"/>
      <c r="FU105" s="1859"/>
      <c r="FV105" s="1859"/>
      <c r="FW105" s="1859"/>
      <c r="FX105" s="1859"/>
      <c r="FY105" s="1859"/>
      <c r="FZ105" s="1859"/>
      <c r="GA105" s="1859"/>
      <c r="GB105" s="1859"/>
      <c r="GC105" s="1859"/>
      <c r="GD105" s="1859"/>
      <c r="GE105" s="1859"/>
      <c r="GF105" s="1859"/>
      <c r="GG105" s="1859"/>
      <c r="GH105" s="1859"/>
      <c r="GI105" s="1859"/>
      <c r="GJ105" s="1859"/>
      <c r="GK105" s="1859"/>
      <c r="GL105" s="1859"/>
      <c r="GM105" s="1859"/>
      <c r="GN105" s="1859"/>
      <c r="GO105" s="1859"/>
      <c r="GP105" s="1859"/>
      <c r="GQ105" s="1859"/>
      <c r="GR105" s="1859"/>
      <c r="GS105" s="1859"/>
      <c r="GT105" s="1859"/>
      <c r="GU105" s="1859"/>
      <c r="GV105" s="1859"/>
      <c r="GW105" s="1859"/>
      <c r="GX105" s="1859"/>
      <c r="GY105" s="1859"/>
      <c r="GZ105" s="1859"/>
      <c r="HA105" s="1859"/>
      <c r="HB105" s="1859"/>
      <c r="HC105" s="1859"/>
      <c r="HD105" s="1859"/>
      <c r="HE105" s="1859"/>
      <c r="HF105" s="1859"/>
      <c r="HG105" s="1859"/>
      <c r="HH105" s="1859"/>
      <c r="HI105" s="1859"/>
      <c r="HJ105" s="1859"/>
      <c r="HK105" s="1859"/>
      <c r="HL105" s="1859"/>
      <c r="HM105" s="1859"/>
      <c r="HN105" s="1859"/>
      <c r="HO105" s="1859"/>
      <c r="HP105" s="1859"/>
      <c r="HQ105" s="1859"/>
      <c r="HR105" s="1859"/>
      <c r="HS105" s="1859"/>
      <c r="HT105" s="1859"/>
      <c r="HU105" s="1859"/>
      <c r="HV105" s="1859"/>
      <c r="HW105" s="1859"/>
      <c r="HX105" s="1859"/>
      <c r="HY105" s="1859"/>
      <c r="HZ105" s="1859"/>
      <c r="IA105" s="1859"/>
      <c r="IB105" s="1859"/>
      <c r="IC105" s="1859"/>
      <c r="ID105" s="1859"/>
      <c r="IE105" s="1859"/>
      <c r="IF105" s="1859"/>
      <c r="IG105" s="1859"/>
      <c r="IH105" s="1859"/>
      <c r="II105" s="1859"/>
      <c r="IJ105" s="1859"/>
      <c r="IK105" s="1859"/>
      <c r="IL105" s="1859"/>
      <c r="IM105" s="1859"/>
      <c r="IN105" s="1859"/>
      <c r="IO105" s="1859"/>
      <c r="IP105" s="1859"/>
      <c r="IQ105" s="1859"/>
      <c r="IR105" s="1859"/>
      <c r="IS105" s="1859"/>
      <c r="IT105" s="1859"/>
      <c r="IU105" s="1859"/>
      <c r="IV105" s="1859"/>
    </row>
    <row r="106" spans="1:256" s="27" customFormat="1" ht="15.75" customHeight="1" x14ac:dyDescent="0.25">
      <c r="A106" s="79"/>
      <c r="B106" s="583">
        <v>932</v>
      </c>
      <c r="C106" s="569" t="s">
        <v>485</v>
      </c>
      <c r="D106" s="478">
        <f>Data!B86</f>
        <v>0</v>
      </c>
      <c r="E106" s="478">
        <f>Data!C86</f>
        <v>0</v>
      </c>
      <c r="F106" s="478">
        <f>Data!D86</f>
        <v>0</v>
      </c>
      <c r="G106" s="690">
        <f>Data!E86</f>
        <v>0</v>
      </c>
      <c r="H106" s="476">
        <v>0</v>
      </c>
      <c r="I106" s="478">
        <f>IF(Data!$H$5="Actual", SUM(D106+E106+F106+G106)/4, SUM(D106+E106+F106)/3)</f>
        <v>0</v>
      </c>
      <c r="J106" s="696" t="str">
        <f t="shared" si="13"/>
        <v/>
      </c>
      <c r="K106" s="730" t="str">
        <f t="shared" si="14"/>
        <v/>
      </c>
      <c r="L106" s="79"/>
      <c r="M106" s="79"/>
      <c r="N106" s="1849"/>
      <c r="O106" s="1849"/>
      <c r="P106" s="1849"/>
      <c r="Q106" s="1849"/>
      <c r="R106" s="1849"/>
      <c r="S106" s="1859"/>
      <c r="T106" s="1859"/>
      <c r="U106" s="1859"/>
      <c r="V106" s="1859"/>
      <c r="W106" s="1859"/>
      <c r="X106" s="1859"/>
      <c r="Y106" s="1859"/>
      <c r="Z106" s="1859"/>
      <c r="AA106" s="1859"/>
      <c r="AB106" s="1859"/>
      <c r="AC106" s="1859"/>
      <c r="AD106" s="1859"/>
      <c r="AE106" s="1859"/>
      <c r="AF106" s="1859"/>
      <c r="AG106" s="1859"/>
      <c r="AH106" s="1859"/>
      <c r="AI106" s="1859"/>
      <c r="AJ106" s="1859"/>
      <c r="AK106" s="1859"/>
      <c r="AL106" s="1859"/>
      <c r="AM106" s="1859"/>
      <c r="AN106" s="1859"/>
      <c r="AO106" s="1859"/>
      <c r="AP106" s="1859"/>
      <c r="AQ106" s="1859"/>
      <c r="AR106" s="1859"/>
      <c r="AS106" s="1859"/>
      <c r="AT106" s="1859"/>
      <c r="AU106" s="1859"/>
      <c r="AV106" s="1859"/>
      <c r="AW106" s="1859"/>
      <c r="AX106" s="1859"/>
      <c r="AY106" s="1859"/>
      <c r="AZ106" s="1859"/>
      <c r="BA106" s="1859"/>
      <c r="BB106" s="1859"/>
      <c r="BC106" s="1859"/>
      <c r="BD106" s="1859"/>
      <c r="BE106" s="1859"/>
      <c r="BF106" s="1859"/>
      <c r="BG106" s="1859"/>
      <c r="BH106" s="1859"/>
      <c r="BI106" s="1859"/>
      <c r="BJ106" s="1859"/>
      <c r="BK106" s="1859"/>
      <c r="BL106" s="1859"/>
      <c r="BM106" s="1859"/>
      <c r="BN106" s="1859"/>
      <c r="BO106" s="1859"/>
      <c r="BP106" s="1859"/>
      <c r="BQ106" s="1859"/>
      <c r="BR106" s="1859"/>
      <c r="BS106" s="1859"/>
      <c r="BT106" s="1859"/>
      <c r="BU106" s="1859"/>
      <c r="BV106" s="1859"/>
      <c r="BW106" s="1859"/>
      <c r="BX106" s="1859"/>
      <c r="BY106" s="1859"/>
      <c r="BZ106" s="1859"/>
      <c r="CA106" s="1859"/>
      <c r="CB106" s="1859"/>
      <c r="CC106" s="1859"/>
      <c r="CD106" s="1859"/>
      <c r="CE106" s="1859"/>
      <c r="CF106" s="1859"/>
      <c r="CG106" s="1859"/>
      <c r="CH106" s="1859"/>
      <c r="CI106" s="1859"/>
      <c r="CJ106" s="1859"/>
      <c r="CK106" s="1859"/>
      <c r="CL106" s="1859"/>
      <c r="CM106" s="1859"/>
      <c r="CN106" s="1859"/>
      <c r="CO106" s="1859"/>
      <c r="CP106" s="1859"/>
      <c r="CQ106" s="1859"/>
      <c r="CR106" s="1859"/>
      <c r="CS106" s="1859"/>
      <c r="CT106" s="1859"/>
      <c r="CU106" s="1859"/>
      <c r="CV106" s="1859"/>
      <c r="CW106" s="1859"/>
      <c r="CX106" s="1859"/>
      <c r="CY106" s="1859"/>
      <c r="CZ106" s="1859"/>
      <c r="DA106" s="1859"/>
      <c r="DB106" s="1859"/>
      <c r="DC106" s="1859"/>
      <c r="DD106" s="1859"/>
      <c r="DE106" s="1859"/>
      <c r="DF106" s="1859"/>
      <c r="DG106" s="1859"/>
      <c r="DH106" s="1859"/>
      <c r="DI106" s="1859"/>
      <c r="DJ106" s="1859"/>
      <c r="DK106" s="1859"/>
      <c r="DL106" s="1859"/>
      <c r="DM106" s="1859"/>
      <c r="DN106" s="1859"/>
      <c r="DO106" s="1859"/>
      <c r="DP106" s="1859"/>
      <c r="DQ106" s="1859"/>
      <c r="DR106" s="1859"/>
      <c r="DS106" s="1859"/>
      <c r="DT106" s="1859"/>
      <c r="DU106" s="1859"/>
      <c r="DV106" s="1859"/>
      <c r="DW106" s="1859"/>
      <c r="DX106" s="1859"/>
      <c r="DY106" s="1859"/>
      <c r="DZ106" s="1859"/>
      <c r="EA106" s="1859"/>
      <c r="EB106" s="1859"/>
      <c r="EC106" s="1859"/>
      <c r="ED106" s="1859"/>
      <c r="EE106" s="1859"/>
      <c r="EF106" s="1859"/>
      <c r="EG106" s="1859"/>
      <c r="EH106" s="1859"/>
      <c r="EI106" s="1859"/>
      <c r="EJ106" s="1859"/>
      <c r="EK106" s="1859"/>
      <c r="EL106" s="1859"/>
      <c r="EM106" s="1859"/>
      <c r="EN106" s="1859"/>
      <c r="EO106" s="1859"/>
      <c r="EP106" s="1859"/>
      <c r="EQ106" s="1859"/>
      <c r="ER106" s="1859"/>
      <c r="ES106" s="1859"/>
      <c r="ET106" s="1859"/>
      <c r="EU106" s="1859"/>
      <c r="EV106" s="1859"/>
      <c r="EW106" s="1859"/>
      <c r="EX106" s="1859"/>
      <c r="EY106" s="1859"/>
      <c r="EZ106" s="1859"/>
      <c r="FA106" s="1859"/>
      <c r="FB106" s="1859"/>
      <c r="FC106" s="1859"/>
      <c r="FD106" s="1859"/>
      <c r="FE106" s="1859"/>
      <c r="FF106" s="1859"/>
      <c r="FG106" s="1859"/>
      <c r="FH106" s="1859"/>
      <c r="FI106" s="1859"/>
      <c r="FJ106" s="1859"/>
      <c r="FK106" s="1859"/>
      <c r="FL106" s="1859"/>
      <c r="FM106" s="1859"/>
      <c r="FN106" s="1859"/>
      <c r="FO106" s="1859"/>
      <c r="FP106" s="1859"/>
      <c r="FQ106" s="1859"/>
      <c r="FR106" s="1859"/>
      <c r="FS106" s="1859"/>
      <c r="FT106" s="1859"/>
      <c r="FU106" s="1859"/>
      <c r="FV106" s="1859"/>
      <c r="FW106" s="1859"/>
      <c r="FX106" s="1859"/>
      <c r="FY106" s="1859"/>
      <c r="FZ106" s="1859"/>
      <c r="GA106" s="1859"/>
      <c r="GB106" s="1859"/>
      <c r="GC106" s="1859"/>
      <c r="GD106" s="1859"/>
      <c r="GE106" s="1859"/>
      <c r="GF106" s="1859"/>
      <c r="GG106" s="1859"/>
      <c r="GH106" s="1859"/>
      <c r="GI106" s="1859"/>
      <c r="GJ106" s="1859"/>
      <c r="GK106" s="1859"/>
      <c r="GL106" s="1859"/>
      <c r="GM106" s="1859"/>
      <c r="GN106" s="1859"/>
      <c r="GO106" s="1859"/>
      <c r="GP106" s="1859"/>
      <c r="GQ106" s="1859"/>
      <c r="GR106" s="1859"/>
      <c r="GS106" s="1859"/>
      <c r="GT106" s="1859"/>
      <c r="GU106" s="1859"/>
      <c r="GV106" s="1859"/>
      <c r="GW106" s="1859"/>
      <c r="GX106" s="1859"/>
      <c r="GY106" s="1859"/>
      <c r="GZ106" s="1859"/>
      <c r="HA106" s="1859"/>
      <c r="HB106" s="1859"/>
      <c r="HC106" s="1859"/>
      <c r="HD106" s="1859"/>
      <c r="HE106" s="1859"/>
      <c r="HF106" s="1859"/>
      <c r="HG106" s="1859"/>
      <c r="HH106" s="1859"/>
      <c r="HI106" s="1859"/>
      <c r="HJ106" s="1859"/>
      <c r="HK106" s="1859"/>
      <c r="HL106" s="1859"/>
      <c r="HM106" s="1859"/>
      <c r="HN106" s="1859"/>
      <c r="HO106" s="1859"/>
      <c r="HP106" s="1859"/>
      <c r="HQ106" s="1859"/>
      <c r="HR106" s="1859"/>
      <c r="HS106" s="1859"/>
      <c r="HT106" s="1859"/>
      <c r="HU106" s="1859"/>
      <c r="HV106" s="1859"/>
      <c r="HW106" s="1859"/>
      <c r="HX106" s="1859"/>
      <c r="HY106" s="1859"/>
      <c r="HZ106" s="1859"/>
      <c r="IA106" s="1859"/>
      <c r="IB106" s="1859"/>
      <c r="IC106" s="1859"/>
      <c r="ID106" s="1859"/>
      <c r="IE106" s="1859"/>
      <c r="IF106" s="1859"/>
      <c r="IG106" s="1859"/>
      <c r="IH106" s="1859"/>
      <c r="II106" s="1859"/>
      <c r="IJ106" s="1859"/>
      <c r="IK106" s="1859"/>
      <c r="IL106" s="1859"/>
      <c r="IM106" s="1859"/>
      <c r="IN106" s="1859"/>
      <c r="IO106" s="1859"/>
      <c r="IP106" s="1859"/>
      <c r="IQ106" s="1859"/>
      <c r="IR106" s="1859"/>
      <c r="IS106" s="1859"/>
      <c r="IT106" s="1859"/>
      <c r="IU106" s="1859"/>
      <c r="IV106" s="1859"/>
    </row>
    <row r="107" spans="1:256" s="27" customFormat="1" ht="15.75" customHeight="1" x14ac:dyDescent="0.25">
      <c r="A107" s="79"/>
      <c r="B107" s="583"/>
      <c r="C107" s="569"/>
      <c r="D107" s="723"/>
      <c r="E107" s="723"/>
      <c r="F107" s="723"/>
      <c r="G107" s="704"/>
      <c r="H107" s="704"/>
      <c r="I107" s="723"/>
      <c r="J107" s="656"/>
      <c r="K107" s="657"/>
      <c r="L107" s="79"/>
      <c r="M107" s="79"/>
      <c r="N107" s="1849"/>
      <c r="O107" s="1849"/>
      <c r="P107" s="1849"/>
      <c r="Q107" s="1849"/>
      <c r="R107" s="1849"/>
      <c r="S107" s="1859"/>
      <c r="T107" s="1859"/>
      <c r="U107" s="1859"/>
      <c r="V107" s="1859"/>
      <c r="W107" s="1859"/>
      <c r="X107" s="1859"/>
      <c r="Y107" s="1859"/>
      <c r="Z107" s="1859"/>
      <c r="AA107" s="1859"/>
      <c r="AB107" s="1859"/>
      <c r="AC107" s="1859"/>
      <c r="AD107" s="1859"/>
      <c r="AE107" s="1859"/>
      <c r="AF107" s="1859"/>
      <c r="AG107" s="1859"/>
      <c r="AH107" s="1859"/>
      <c r="AI107" s="1859"/>
      <c r="AJ107" s="1859"/>
      <c r="AK107" s="1859"/>
      <c r="AL107" s="1859"/>
      <c r="AM107" s="1859"/>
      <c r="AN107" s="1859"/>
      <c r="AO107" s="1859"/>
      <c r="AP107" s="1859"/>
      <c r="AQ107" s="1859"/>
      <c r="AR107" s="1859"/>
      <c r="AS107" s="1859"/>
      <c r="AT107" s="1859"/>
      <c r="AU107" s="1859"/>
      <c r="AV107" s="1859"/>
      <c r="AW107" s="1859"/>
      <c r="AX107" s="1859"/>
      <c r="AY107" s="1859"/>
      <c r="AZ107" s="1859"/>
      <c r="BA107" s="1859"/>
      <c r="BB107" s="1859"/>
      <c r="BC107" s="1859"/>
      <c r="BD107" s="1859"/>
      <c r="BE107" s="1859"/>
      <c r="BF107" s="1859"/>
      <c r="BG107" s="1859"/>
      <c r="BH107" s="1859"/>
      <c r="BI107" s="1859"/>
      <c r="BJ107" s="1859"/>
      <c r="BK107" s="1859"/>
      <c r="BL107" s="1859"/>
      <c r="BM107" s="1859"/>
      <c r="BN107" s="1859"/>
      <c r="BO107" s="1859"/>
      <c r="BP107" s="1859"/>
      <c r="BQ107" s="1859"/>
      <c r="BR107" s="1859"/>
      <c r="BS107" s="1859"/>
      <c r="BT107" s="1859"/>
      <c r="BU107" s="1859"/>
      <c r="BV107" s="1859"/>
      <c r="BW107" s="1859"/>
      <c r="BX107" s="1859"/>
      <c r="BY107" s="1859"/>
      <c r="BZ107" s="1859"/>
      <c r="CA107" s="1859"/>
      <c r="CB107" s="1859"/>
      <c r="CC107" s="1859"/>
      <c r="CD107" s="1859"/>
      <c r="CE107" s="1859"/>
      <c r="CF107" s="1859"/>
      <c r="CG107" s="1859"/>
      <c r="CH107" s="1859"/>
      <c r="CI107" s="1859"/>
      <c r="CJ107" s="1859"/>
      <c r="CK107" s="1859"/>
      <c r="CL107" s="1859"/>
      <c r="CM107" s="1859"/>
      <c r="CN107" s="1859"/>
      <c r="CO107" s="1859"/>
      <c r="CP107" s="1859"/>
      <c r="CQ107" s="1859"/>
      <c r="CR107" s="1859"/>
      <c r="CS107" s="1859"/>
      <c r="CT107" s="1859"/>
      <c r="CU107" s="1859"/>
      <c r="CV107" s="1859"/>
      <c r="CW107" s="1859"/>
      <c r="CX107" s="1859"/>
      <c r="CY107" s="1859"/>
      <c r="CZ107" s="1859"/>
      <c r="DA107" s="1859"/>
      <c r="DB107" s="1859"/>
      <c r="DC107" s="1859"/>
      <c r="DD107" s="1859"/>
      <c r="DE107" s="1859"/>
      <c r="DF107" s="1859"/>
      <c r="DG107" s="1859"/>
      <c r="DH107" s="1859"/>
      <c r="DI107" s="1859"/>
      <c r="DJ107" s="1859"/>
      <c r="DK107" s="1859"/>
      <c r="DL107" s="1859"/>
      <c r="DM107" s="1859"/>
      <c r="DN107" s="1859"/>
      <c r="DO107" s="1859"/>
      <c r="DP107" s="1859"/>
      <c r="DQ107" s="1859"/>
      <c r="DR107" s="1859"/>
      <c r="DS107" s="1859"/>
      <c r="DT107" s="1859"/>
      <c r="DU107" s="1859"/>
      <c r="DV107" s="1859"/>
      <c r="DW107" s="1859"/>
      <c r="DX107" s="1859"/>
      <c r="DY107" s="1859"/>
      <c r="DZ107" s="1859"/>
      <c r="EA107" s="1859"/>
      <c r="EB107" s="1859"/>
      <c r="EC107" s="1859"/>
      <c r="ED107" s="1859"/>
      <c r="EE107" s="1859"/>
      <c r="EF107" s="1859"/>
      <c r="EG107" s="1859"/>
      <c r="EH107" s="1859"/>
      <c r="EI107" s="1859"/>
      <c r="EJ107" s="1859"/>
      <c r="EK107" s="1859"/>
      <c r="EL107" s="1859"/>
      <c r="EM107" s="1859"/>
      <c r="EN107" s="1859"/>
      <c r="EO107" s="1859"/>
      <c r="EP107" s="1859"/>
      <c r="EQ107" s="1859"/>
      <c r="ER107" s="1859"/>
      <c r="ES107" s="1859"/>
      <c r="ET107" s="1859"/>
      <c r="EU107" s="1859"/>
      <c r="EV107" s="1859"/>
      <c r="EW107" s="1859"/>
      <c r="EX107" s="1859"/>
      <c r="EY107" s="1859"/>
      <c r="EZ107" s="1859"/>
      <c r="FA107" s="1859"/>
      <c r="FB107" s="1859"/>
      <c r="FC107" s="1859"/>
      <c r="FD107" s="1859"/>
      <c r="FE107" s="1859"/>
      <c r="FF107" s="1859"/>
      <c r="FG107" s="1859"/>
      <c r="FH107" s="1859"/>
      <c r="FI107" s="1859"/>
      <c r="FJ107" s="1859"/>
      <c r="FK107" s="1859"/>
      <c r="FL107" s="1859"/>
      <c r="FM107" s="1859"/>
      <c r="FN107" s="1859"/>
      <c r="FO107" s="1859"/>
      <c r="FP107" s="1859"/>
      <c r="FQ107" s="1859"/>
      <c r="FR107" s="1859"/>
      <c r="FS107" s="1859"/>
      <c r="FT107" s="1859"/>
      <c r="FU107" s="1859"/>
      <c r="FV107" s="1859"/>
      <c r="FW107" s="1859"/>
      <c r="FX107" s="1859"/>
      <c r="FY107" s="1859"/>
      <c r="FZ107" s="1859"/>
      <c r="GA107" s="1859"/>
      <c r="GB107" s="1859"/>
      <c r="GC107" s="1859"/>
      <c r="GD107" s="1859"/>
      <c r="GE107" s="1859"/>
      <c r="GF107" s="1859"/>
      <c r="GG107" s="1859"/>
      <c r="GH107" s="1859"/>
      <c r="GI107" s="1859"/>
      <c r="GJ107" s="1859"/>
      <c r="GK107" s="1859"/>
      <c r="GL107" s="1859"/>
      <c r="GM107" s="1859"/>
      <c r="GN107" s="1859"/>
      <c r="GO107" s="1859"/>
      <c r="GP107" s="1859"/>
      <c r="GQ107" s="1859"/>
      <c r="GR107" s="1859"/>
      <c r="GS107" s="1859"/>
      <c r="GT107" s="1859"/>
      <c r="GU107" s="1859"/>
      <c r="GV107" s="1859"/>
      <c r="GW107" s="1859"/>
      <c r="GX107" s="1859"/>
      <c r="GY107" s="1859"/>
      <c r="GZ107" s="1859"/>
      <c r="HA107" s="1859"/>
      <c r="HB107" s="1859"/>
      <c r="HC107" s="1859"/>
      <c r="HD107" s="1859"/>
      <c r="HE107" s="1859"/>
      <c r="HF107" s="1859"/>
      <c r="HG107" s="1859"/>
      <c r="HH107" s="1859"/>
      <c r="HI107" s="1859"/>
      <c r="HJ107" s="1859"/>
      <c r="HK107" s="1859"/>
      <c r="HL107" s="1859"/>
      <c r="HM107" s="1859"/>
      <c r="HN107" s="1859"/>
      <c r="HO107" s="1859"/>
      <c r="HP107" s="1859"/>
      <c r="HQ107" s="1859"/>
      <c r="HR107" s="1859"/>
      <c r="HS107" s="1859"/>
      <c r="HT107" s="1859"/>
      <c r="HU107" s="1859"/>
      <c r="HV107" s="1859"/>
      <c r="HW107" s="1859"/>
      <c r="HX107" s="1859"/>
      <c r="HY107" s="1859"/>
      <c r="HZ107" s="1859"/>
      <c r="IA107" s="1859"/>
      <c r="IB107" s="1859"/>
      <c r="IC107" s="1859"/>
      <c r="ID107" s="1859"/>
      <c r="IE107" s="1859"/>
      <c r="IF107" s="1859"/>
      <c r="IG107" s="1859"/>
      <c r="IH107" s="1859"/>
      <c r="II107" s="1859"/>
      <c r="IJ107" s="1859"/>
      <c r="IK107" s="1859"/>
      <c r="IL107" s="1859"/>
      <c r="IM107" s="1859"/>
      <c r="IN107" s="1859"/>
      <c r="IO107" s="1859"/>
      <c r="IP107" s="1859"/>
      <c r="IQ107" s="1859"/>
      <c r="IR107" s="1859"/>
      <c r="IS107" s="1859"/>
      <c r="IT107" s="1859"/>
      <c r="IU107" s="1859"/>
      <c r="IV107" s="1859"/>
    </row>
    <row r="108" spans="1:256" s="27" customFormat="1" ht="15.75" customHeight="1" x14ac:dyDescent="0.25">
      <c r="A108" s="79"/>
      <c r="B108" s="583"/>
      <c r="C108" s="569" t="s">
        <v>486</v>
      </c>
      <c r="D108" s="705">
        <f t="shared" ref="D108:I108" si="15">SUM(D95:D96)-D97+SUM(D98:D102)-D103+SUM(D104:D106)</f>
        <v>0</v>
      </c>
      <c r="E108" s="705">
        <f t="shared" si="15"/>
        <v>0</v>
      </c>
      <c r="F108" s="705">
        <f t="shared" si="15"/>
        <v>0</v>
      </c>
      <c r="G108" s="705">
        <f t="shared" si="15"/>
        <v>0</v>
      </c>
      <c r="H108" s="705">
        <f t="shared" si="15"/>
        <v>0</v>
      </c>
      <c r="I108" s="705">
        <f t="shared" si="15"/>
        <v>0</v>
      </c>
      <c r="J108" s="656"/>
      <c r="K108" s="657"/>
      <c r="L108" s="79"/>
      <c r="M108" s="79"/>
      <c r="N108" s="1849"/>
      <c r="O108" s="1849"/>
      <c r="P108" s="1849"/>
      <c r="Q108" s="1849"/>
      <c r="R108" s="1849"/>
      <c r="S108" s="1859"/>
      <c r="T108" s="1859"/>
      <c r="U108" s="1859"/>
      <c r="V108" s="1859"/>
      <c r="W108" s="1859"/>
      <c r="X108" s="1859"/>
      <c r="Y108" s="1859"/>
      <c r="Z108" s="1859"/>
      <c r="AA108" s="1859"/>
      <c r="AB108" s="1859"/>
      <c r="AC108" s="1859"/>
      <c r="AD108" s="1859"/>
      <c r="AE108" s="1859"/>
      <c r="AF108" s="1859"/>
      <c r="AG108" s="1859"/>
      <c r="AH108" s="1859"/>
      <c r="AI108" s="1859"/>
      <c r="AJ108" s="1859"/>
      <c r="AK108" s="1859"/>
      <c r="AL108" s="1859"/>
      <c r="AM108" s="1859"/>
      <c r="AN108" s="1859"/>
      <c r="AO108" s="1859"/>
      <c r="AP108" s="1859"/>
      <c r="AQ108" s="1859"/>
      <c r="AR108" s="1859"/>
      <c r="AS108" s="1859"/>
      <c r="AT108" s="1859"/>
      <c r="AU108" s="1859"/>
      <c r="AV108" s="1859"/>
      <c r="AW108" s="1859"/>
      <c r="AX108" s="1859"/>
      <c r="AY108" s="1859"/>
      <c r="AZ108" s="1859"/>
      <c r="BA108" s="1859"/>
      <c r="BB108" s="1859"/>
      <c r="BC108" s="1859"/>
      <c r="BD108" s="1859"/>
      <c r="BE108" s="1859"/>
      <c r="BF108" s="1859"/>
      <c r="BG108" s="1859"/>
      <c r="BH108" s="1859"/>
      <c r="BI108" s="1859"/>
      <c r="BJ108" s="1859"/>
      <c r="BK108" s="1859"/>
      <c r="BL108" s="1859"/>
      <c r="BM108" s="1859"/>
      <c r="BN108" s="1859"/>
      <c r="BO108" s="1859"/>
      <c r="BP108" s="1859"/>
      <c r="BQ108" s="1859"/>
      <c r="BR108" s="1859"/>
      <c r="BS108" s="1859"/>
      <c r="BT108" s="1859"/>
      <c r="BU108" s="1859"/>
      <c r="BV108" s="1859"/>
      <c r="BW108" s="1859"/>
      <c r="BX108" s="1859"/>
      <c r="BY108" s="1859"/>
      <c r="BZ108" s="1859"/>
      <c r="CA108" s="1859"/>
      <c r="CB108" s="1859"/>
      <c r="CC108" s="1859"/>
      <c r="CD108" s="1859"/>
      <c r="CE108" s="1859"/>
      <c r="CF108" s="1859"/>
      <c r="CG108" s="1859"/>
      <c r="CH108" s="1859"/>
      <c r="CI108" s="1859"/>
      <c r="CJ108" s="1859"/>
      <c r="CK108" s="1859"/>
      <c r="CL108" s="1859"/>
      <c r="CM108" s="1859"/>
      <c r="CN108" s="1859"/>
      <c r="CO108" s="1859"/>
      <c r="CP108" s="1859"/>
      <c r="CQ108" s="1859"/>
      <c r="CR108" s="1859"/>
      <c r="CS108" s="1859"/>
      <c r="CT108" s="1859"/>
      <c r="CU108" s="1859"/>
      <c r="CV108" s="1859"/>
      <c r="CW108" s="1859"/>
      <c r="CX108" s="1859"/>
      <c r="CY108" s="1859"/>
      <c r="CZ108" s="1859"/>
      <c r="DA108" s="1859"/>
      <c r="DB108" s="1859"/>
      <c r="DC108" s="1859"/>
      <c r="DD108" s="1859"/>
      <c r="DE108" s="1859"/>
      <c r="DF108" s="1859"/>
      <c r="DG108" s="1859"/>
      <c r="DH108" s="1859"/>
      <c r="DI108" s="1859"/>
      <c r="DJ108" s="1859"/>
      <c r="DK108" s="1859"/>
      <c r="DL108" s="1859"/>
      <c r="DM108" s="1859"/>
      <c r="DN108" s="1859"/>
      <c r="DO108" s="1859"/>
      <c r="DP108" s="1859"/>
      <c r="DQ108" s="1859"/>
      <c r="DR108" s="1859"/>
      <c r="DS108" s="1859"/>
      <c r="DT108" s="1859"/>
      <c r="DU108" s="1859"/>
      <c r="DV108" s="1859"/>
      <c r="DW108" s="1859"/>
      <c r="DX108" s="1859"/>
      <c r="DY108" s="1859"/>
      <c r="DZ108" s="1859"/>
      <c r="EA108" s="1859"/>
      <c r="EB108" s="1859"/>
      <c r="EC108" s="1859"/>
      <c r="ED108" s="1859"/>
      <c r="EE108" s="1859"/>
      <c r="EF108" s="1859"/>
      <c r="EG108" s="1859"/>
      <c r="EH108" s="1859"/>
      <c r="EI108" s="1859"/>
      <c r="EJ108" s="1859"/>
      <c r="EK108" s="1859"/>
      <c r="EL108" s="1859"/>
      <c r="EM108" s="1859"/>
      <c r="EN108" s="1859"/>
      <c r="EO108" s="1859"/>
      <c r="EP108" s="1859"/>
      <c r="EQ108" s="1859"/>
      <c r="ER108" s="1859"/>
      <c r="ES108" s="1859"/>
      <c r="ET108" s="1859"/>
      <c r="EU108" s="1859"/>
      <c r="EV108" s="1859"/>
      <c r="EW108" s="1859"/>
      <c r="EX108" s="1859"/>
      <c r="EY108" s="1859"/>
      <c r="EZ108" s="1859"/>
      <c r="FA108" s="1859"/>
      <c r="FB108" s="1859"/>
      <c r="FC108" s="1859"/>
      <c r="FD108" s="1859"/>
      <c r="FE108" s="1859"/>
      <c r="FF108" s="1859"/>
      <c r="FG108" s="1859"/>
      <c r="FH108" s="1859"/>
      <c r="FI108" s="1859"/>
      <c r="FJ108" s="1859"/>
      <c r="FK108" s="1859"/>
      <c r="FL108" s="1859"/>
      <c r="FM108" s="1859"/>
      <c r="FN108" s="1859"/>
      <c r="FO108" s="1859"/>
      <c r="FP108" s="1859"/>
      <c r="FQ108" s="1859"/>
      <c r="FR108" s="1859"/>
      <c r="FS108" s="1859"/>
      <c r="FT108" s="1859"/>
      <c r="FU108" s="1859"/>
      <c r="FV108" s="1859"/>
      <c r="FW108" s="1859"/>
      <c r="FX108" s="1859"/>
      <c r="FY108" s="1859"/>
      <c r="FZ108" s="1859"/>
      <c r="GA108" s="1859"/>
      <c r="GB108" s="1859"/>
      <c r="GC108" s="1859"/>
      <c r="GD108" s="1859"/>
      <c r="GE108" s="1859"/>
      <c r="GF108" s="1859"/>
      <c r="GG108" s="1859"/>
      <c r="GH108" s="1859"/>
      <c r="GI108" s="1859"/>
      <c r="GJ108" s="1859"/>
      <c r="GK108" s="1859"/>
      <c r="GL108" s="1859"/>
      <c r="GM108" s="1859"/>
      <c r="GN108" s="1859"/>
      <c r="GO108" s="1859"/>
      <c r="GP108" s="1859"/>
      <c r="GQ108" s="1859"/>
      <c r="GR108" s="1859"/>
      <c r="GS108" s="1859"/>
      <c r="GT108" s="1859"/>
      <c r="GU108" s="1859"/>
      <c r="GV108" s="1859"/>
      <c r="GW108" s="1859"/>
      <c r="GX108" s="1859"/>
      <c r="GY108" s="1859"/>
      <c r="GZ108" s="1859"/>
      <c r="HA108" s="1859"/>
      <c r="HB108" s="1859"/>
      <c r="HC108" s="1859"/>
      <c r="HD108" s="1859"/>
      <c r="HE108" s="1859"/>
      <c r="HF108" s="1859"/>
      <c r="HG108" s="1859"/>
      <c r="HH108" s="1859"/>
      <c r="HI108" s="1859"/>
      <c r="HJ108" s="1859"/>
      <c r="HK108" s="1859"/>
      <c r="HL108" s="1859"/>
      <c r="HM108" s="1859"/>
      <c r="HN108" s="1859"/>
      <c r="HO108" s="1859"/>
      <c r="HP108" s="1859"/>
      <c r="HQ108" s="1859"/>
      <c r="HR108" s="1859"/>
      <c r="HS108" s="1859"/>
      <c r="HT108" s="1859"/>
      <c r="HU108" s="1859"/>
      <c r="HV108" s="1859"/>
      <c r="HW108" s="1859"/>
      <c r="HX108" s="1859"/>
      <c r="HY108" s="1859"/>
      <c r="HZ108" s="1859"/>
      <c r="IA108" s="1859"/>
      <c r="IB108" s="1859"/>
      <c r="IC108" s="1859"/>
      <c r="ID108" s="1859"/>
      <c r="IE108" s="1859"/>
      <c r="IF108" s="1859"/>
      <c r="IG108" s="1859"/>
      <c r="IH108" s="1859"/>
      <c r="II108" s="1859"/>
      <c r="IJ108" s="1859"/>
      <c r="IK108" s="1859"/>
      <c r="IL108" s="1859"/>
      <c r="IM108" s="1859"/>
      <c r="IN108" s="1859"/>
      <c r="IO108" s="1859"/>
      <c r="IP108" s="1859"/>
      <c r="IQ108" s="1859"/>
      <c r="IR108" s="1859"/>
      <c r="IS108" s="1859"/>
      <c r="IT108" s="1859"/>
      <c r="IU108" s="1859"/>
      <c r="IV108" s="1859"/>
    </row>
    <row r="109" spans="1:256" s="27" customFormat="1" ht="15.75" customHeight="1" x14ac:dyDescent="0.25">
      <c r="A109" s="79"/>
      <c r="B109" s="583"/>
      <c r="C109" s="569"/>
      <c r="D109" s="574"/>
      <c r="E109" s="574"/>
      <c r="F109" s="574"/>
      <c r="G109" s="526"/>
      <c r="H109" s="526"/>
      <c r="I109" s="687"/>
      <c r="J109" s="656"/>
      <c r="K109" s="657"/>
      <c r="L109" s="79"/>
      <c r="M109" s="79"/>
      <c r="N109" s="1849"/>
      <c r="O109" s="1849"/>
      <c r="P109" s="1849"/>
      <c r="Q109" s="1849"/>
      <c r="R109" s="1849"/>
      <c r="S109" s="1859"/>
      <c r="T109" s="1859"/>
      <c r="U109" s="1859"/>
      <c r="V109" s="1859"/>
      <c r="W109" s="1859"/>
      <c r="X109" s="1859"/>
      <c r="Y109" s="1859"/>
      <c r="Z109" s="1859"/>
      <c r="AA109" s="1859"/>
      <c r="AB109" s="1859"/>
      <c r="AC109" s="1859"/>
      <c r="AD109" s="1859"/>
      <c r="AE109" s="1859"/>
      <c r="AF109" s="1859"/>
      <c r="AG109" s="1859"/>
      <c r="AH109" s="1859"/>
      <c r="AI109" s="1859"/>
      <c r="AJ109" s="1859"/>
      <c r="AK109" s="1859"/>
      <c r="AL109" s="1859"/>
      <c r="AM109" s="1859"/>
      <c r="AN109" s="1859"/>
      <c r="AO109" s="1859"/>
      <c r="AP109" s="1859"/>
      <c r="AQ109" s="1859"/>
      <c r="AR109" s="1859"/>
      <c r="AS109" s="1859"/>
      <c r="AT109" s="1859"/>
      <c r="AU109" s="1859"/>
      <c r="AV109" s="1859"/>
      <c r="AW109" s="1859"/>
      <c r="AX109" s="1859"/>
      <c r="AY109" s="1859"/>
      <c r="AZ109" s="1859"/>
      <c r="BA109" s="1859"/>
      <c r="BB109" s="1859"/>
      <c r="BC109" s="1859"/>
      <c r="BD109" s="1859"/>
      <c r="BE109" s="1859"/>
      <c r="BF109" s="1859"/>
      <c r="BG109" s="1859"/>
      <c r="BH109" s="1859"/>
      <c r="BI109" s="1859"/>
      <c r="BJ109" s="1859"/>
      <c r="BK109" s="1859"/>
      <c r="BL109" s="1859"/>
      <c r="BM109" s="1859"/>
      <c r="BN109" s="1859"/>
      <c r="BO109" s="1859"/>
      <c r="BP109" s="1859"/>
      <c r="BQ109" s="1859"/>
      <c r="BR109" s="1859"/>
      <c r="BS109" s="1859"/>
      <c r="BT109" s="1859"/>
      <c r="BU109" s="1859"/>
      <c r="BV109" s="1859"/>
      <c r="BW109" s="1859"/>
      <c r="BX109" s="1859"/>
      <c r="BY109" s="1859"/>
      <c r="BZ109" s="1859"/>
      <c r="CA109" s="1859"/>
      <c r="CB109" s="1859"/>
      <c r="CC109" s="1859"/>
      <c r="CD109" s="1859"/>
      <c r="CE109" s="1859"/>
      <c r="CF109" s="1859"/>
      <c r="CG109" s="1859"/>
      <c r="CH109" s="1859"/>
      <c r="CI109" s="1859"/>
      <c r="CJ109" s="1859"/>
      <c r="CK109" s="1859"/>
      <c r="CL109" s="1859"/>
      <c r="CM109" s="1859"/>
      <c r="CN109" s="1859"/>
      <c r="CO109" s="1859"/>
      <c r="CP109" s="1859"/>
      <c r="CQ109" s="1859"/>
      <c r="CR109" s="1859"/>
      <c r="CS109" s="1859"/>
      <c r="CT109" s="1859"/>
      <c r="CU109" s="1859"/>
      <c r="CV109" s="1859"/>
      <c r="CW109" s="1859"/>
      <c r="CX109" s="1859"/>
      <c r="CY109" s="1859"/>
      <c r="CZ109" s="1859"/>
      <c r="DA109" s="1859"/>
      <c r="DB109" s="1859"/>
      <c r="DC109" s="1859"/>
      <c r="DD109" s="1859"/>
      <c r="DE109" s="1859"/>
      <c r="DF109" s="1859"/>
      <c r="DG109" s="1859"/>
      <c r="DH109" s="1859"/>
      <c r="DI109" s="1859"/>
      <c r="DJ109" s="1859"/>
      <c r="DK109" s="1859"/>
      <c r="DL109" s="1859"/>
      <c r="DM109" s="1859"/>
      <c r="DN109" s="1859"/>
      <c r="DO109" s="1859"/>
      <c r="DP109" s="1859"/>
      <c r="DQ109" s="1859"/>
      <c r="DR109" s="1859"/>
      <c r="DS109" s="1859"/>
      <c r="DT109" s="1859"/>
      <c r="DU109" s="1859"/>
      <c r="DV109" s="1859"/>
      <c r="DW109" s="1859"/>
      <c r="DX109" s="1859"/>
      <c r="DY109" s="1859"/>
      <c r="DZ109" s="1859"/>
      <c r="EA109" s="1859"/>
      <c r="EB109" s="1859"/>
      <c r="EC109" s="1859"/>
      <c r="ED109" s="1859"/>
      <c r="EE109" s="1859"/>
      <c r="EF109" s="1859"/>
      <c r="EG109" s="1859"/>
      <c r="EH109" s="1859"/>
      <c r="EI109" s="1859"/>
      <c r="EJ109" s="1859"/>
      <c r="EK109" s="1859"/>
      <c r="EL109" s="1859"/>
      <c r="EM109" s="1859"/>
      <c r="EN109" s="1859"/>
      <c r="EO109" s="1859"/>
      <c r="EP109" s="1859"/>
      <c r="EQ109" s="1859"/>
      <c r="ER109" s="1859"/>
      <c r="ES109" s="1859"/>
      <c r="ET109" s="1859"/>
      <c r="EU109" s="1859"/>
      <c r="EV109" s="1859"/>
      <c r="EW109" s="1859"/>
      <c r="EX109" s="1859"/>
      <c r="EY109" s="1859"/>
      <c r="EZ109" s="1859"/>
      <c r="FA109" s="1859"/>
      <c r="FB109" s="1859"/>
      <c r="FC109" s="1859"/>
      <c r="FD109" s="1859"/>
      <c r="FE109" s="1859"/>
      <c r="FF109" s="1859"/>
      <c r="FG109" s="1859"/>
      <c r="FH109" s="1859"/>
      <c r="FI109" s="1859"/>
      <c r="FJ109" s="1859"/>
      <c r="FK109" s="1859"/>
      <c r="FL109" s="1859"/>
      <c r="FM109" s="1859"/>
      <c r="FN109" s="1859"/>
      <c r="FO109" s="1859"/>
      <c r="FP109" s="1859"/>
      <c r="FQ109" s="1859"/>
      <c r="FR109" s="1859"/>
      <c r="FS109" s="1859"/>
      <c r="FT109" s="1859"/>
      <c r="FU109" s="1859"/>
      <c r="FV109" s="1859"/>
      <c r="FW109" s="1859"/>
      <c r="FX109" s="1859"/>
      <c r="FY109" s="1859"/>
      <c r="FZ109" s="1859"/>
      <c r="GA109" s="1859"/>
      <c r="GB109" s="1859"/>
      <c r="GC109" s="1859"/>
      <c r="GD109" s="1859"/>
      <c r="GE109" s="1859"/>
      <c r="GF109" s="1859"/>
      <c r="GG109" s="1859"/>
      <c r="GH109" s="1859"/>
      <c r="GI109" s="1859"/>
      <c r="GJ109" s="1859"/>
      <c r="GK109" s="1859"/>
      <c r="GL109" s="1859"/>
      <c r="GM109" s="1859"/>
      <c r="GN109" s="1859"/>
      <c r="GO109" s="1859"/>
      <c r="GP109" s="1859"/>
      <c r="GQ109" s="1859"/>
      <c r="GR109" s="1859"/>
      <c r="GS109" s="1859"/>
      <c r="GT109" s="1859"/>
      <c r="GU109" s="1859"/>
      <c r="GV109" s="1859"/>
      <c r="GW109" s="1859"/>
      <c r="GX109" s="1859"/>
      <c r="GY109" s="1859"/>
      <c r="GZ109" s="1859"/>
      <c r="HA109" s="1859"/>
      <c r="HB109" s="1859"/>
      <c r="HC109" s="1859"/>
      <c r="HD109" s="1859"/>
      <c r="HE109" s="1859"/>
      <c r="HF109" s="1859"/>
      <c r="HG109" s="1859"/>
      <c r="HH109" s="1859"/>
      <c r="HI109" s="1859"/>
      <c r="HJ109" s="1859"/>
      <c r="HK109" s="1859"/>
      <c r="HL109" s="1859"/>
      <c r="HM109" s="1859"/>
      <c r="HN109" s="1859"/>
      <c r="HO109" s="1859"/>
      <c r="HP109" s="1859"/>
      <c r="HQ109" s="1859"/>
      <c r="HR109" s="1859"/>
      <c r="HS109" s="1859"/>
      <c r="HT109" s="1859"/>
      <c r="HU109" s="1859"/>
      <c r="HV109" s="1859"/>
      <c r="HW109" s="1859"/>
      <c r="HX109" s="1859"/>
      <c r="HY109" s="1859"/>
      <c r="HZ109" s="1859"/>
      <c r="IA109" s="1859"/>
      <c r="IB109" s="1859"/>
      <c r="IC109" s="1859"/>
      <c r="ID109" s="1859"/>
      <c r="IE109" s="1859"/>
      <c r="IF109" s="1859"/>
      <c r="IG109" s="1859"/>
      <c r="IH109" s="1859"/>
      <c r="II109" s="1859"/>
      <c r="IJ109" s="1859"/>
      <c r="IK109" s="1859"/>
      <c r="IL109" s="1859"/>
      <c r="IM109" s="1859"/>
      <c r="IN109" s="1859"/>
      <c r="IO109" s="1859"/>
      <c r="IP109" s="1859"/>
      <c r="IQ109" s="1859"/>
      <c r="IR109" s="1859"/>
      <c r="IS109" s="1859"/>
      <c r="IT109" s="1859"/>
      <c r="IU109" s="1859"/>
      <c r="IV109" s="1859"/>
    </row>
    <row r="110" spans="1:256" s="27" customFormat="1" ht="15.75" customHeight="1" thickBot="1" x14ac:dyDescent="0.3">
      <c r="A110" s="79"/>
      <c r="B110" s="595"/>
      <c r="C110" s="569" t="s">
        <v>487</v>
      </c>
      <c r="D110" s="706">
        <f t="shared" ref="D110:I110" si="16">ROUND(SUM(D26+D41+D52+D82+D91+D93+D108),0)</f>
        <v>228655</v>
      </c>
      <c r="E110" s="706">
        <f t="shared" si="16"/>
        <v>283625</v>
      </c>
      <c r="F110" s="706">
        <f t="shared" si="16"/>
        <v>293982</v>
      </c>
      <c r="G110" s="706">
        <f t="shared" si="16"/>
        <v>0</v>
      </c>
      <c r="H110" s="706">
        <f t="shared" si="16"/>
        <v>0</v>
      </c>
      <c r="I110" s="706">
        <f t="shared" si="16"/>
        <v>268754</v>
      </c>
      <c r="J110" s="593"/>
      <c r="K110" s="654"/>
      <c r="L110" s="79"/>
      <c r="M110" s="79"/>
      <c r="N110" s="1849"/>
      <c r="O110" s="1849"/>
      <c r="P110" s="1849"/>
      <c r="Q110" s="1849"/>
      <c r="R110" s="1849"/>
      <c r="S110" s="1859"/>
      <c r="T110" s="1859"/>
      <c r="U110" s="1859"/>
      <c r="V110" s="1859"/>
      <c r="W110" s="1859"/>
      <c r="X110" s="1859"/>
      <c r="Y110" s="1859"/>
      <c r="Z110" s="1859"/>
      <c r="AA110" s="1859"/>
      <c r="AB110" s="1859"/>
      <c r="AC110" s="1859"/>
      <c r="AD110" s="1859"/>
      <c r="AE110" s="1859"/>
      <c r="AF110" s="1859"/>
      <c r="AG110" s="1859"/>
      <c r="AH110" s="1859"/>
      <c r="AI110" s="1859"/>
      <c r="AJ110" s="1859"/>
      <c r="AK110" s="1859"/>
      <c r="AL110" s="1859"/>
      <c r="AM110" s="1859"/>
      <c r="AN110" s="1859"/>
      <c r="AO110" s="1859"/>
      <c r="AP110" s="1859"/>
      <c r="AQ110" s="1859"/>
      <c r="AR110" s="1859"/>
      <c r="AS110" s="1859"/>
      <c r="AT110" s="1859"/>
      <c r="AU110" s="1859"/>
      <c r="AV110" s="1859"/>
      <c r="AW110" s="1859"/>
      <c r="AX110" s="1859"/>
      <c r="AY110" s="1859"/>
      <c r="AZ110" s="1859"/>
      <c r="BA110" s="1859"/>
      <c r="BB110" s="1859"/>
      <c r="BC110" s="1859"/>
      <c r="BD110" s="1859"/>
      <c r="BE110" s="1859"/>
      <c r="BF110" s="1859"/>
      <c r="BG110" s="1859"/>
      <c r="BH110" s="1859"/>
      <c r="BI110" s="1859"/>
      <c r="BJ110" s="1859"/>
      <c r="BK110" s="1859"/>
      <c r="BL110" s="1859"/>
      <c r="BM110" s="1859"/>
      <c r="BN110" s="1859"/>
      <c r="BO110" s="1859"/>
      <c r="BP110" s="1859"/>
      <c r="BQ110" s="1859"/>
      <c r="BR110" s="1859"/>
      <c r="BS110" s="1859"/>
      <c r="BT110" s="1859"/>
      <c r="BU110" s="1859"/>
      <c r="BV110" s="1859"/>
      <c r="BW110" s="1859"/>
      <c r="BX110" s="1859"/>
      <c r="BY110" s="1859"/>
      <c r="BZ110" s="1859"/>
      <c r="CA110" s="1859"/>
      <c r="CB110" s="1859"/>
      <c r="CC110" s="1859"/>
      <c r="CD110" s="1859"/>
      <c r="CE110" s="1859"/>
      <c r="CF110" s="1859"/>
      <c r="CG110" s="1859"/>
      <c r="CH110" s="1859"/>
      <c r="CI110" s="1859"/>
      <c r="CJ110" s="1859"/>
      <c r="CK110" s="1859"/>
      <c r="CL110" s="1859"/>
      <c r="CM110" s="1859"/>
      <c r="CN110" s="1859"/>
      <c r="CO110" s="1859"/>
      <c r="CP110" s="1859"/>
      <c r="CQ110" s="1859"/>
      <c r="CR110" s="1859"/>
      <c r="CS110" s="1859"/>
      <c r="CT110" s="1859"/>
      <c r="CU110" s="1859"/>
      <c r="CV110" s="1859"/>
      <c r="CW110" s="1859"/>
      <c r="CX110" s="1859"/>
      <c r="CY110" s="1859"/>
      <c r="CZ110" s="1859"/>
      <c r="DA110" s="1859"/>
      <c r="DB110" s="1859"/>
      <c r="DC110" s="1859"/>
      <c r="DD110" s="1859"/>
      <c r="DE110" s="1859"/>
      <c r="DF110" s="1859"/>
      <c r="DG110" s="1859"/>
      <c r="DH110" s="1859"/>
      <c r="DI110" s="1859"/>
      <c r="DJ110" s="1859"/>
      <c r="DK110" s="1859"/>
      <c r="DL110" s="1859"/>
      <c r="DM110" s="1859"/>
      <c r="DN110" s="1859"/>
      <c r="DO110" s="1859"/>
      <c r="DP110" s="1859"/>
      <c r="DQ110" s="1859"/>
      <c r="DR110" s="1859"/>
      <c r="DS110" s="1859"/>
      <c r="DT110" s="1859"/>
      <c r="DU110" s="1859"/>
      <c r="DV110" s="1859"/>
      <c r="DW110" s="1859"/>
      <c r="DX110" s="1859"/>
      <c r="DY110" s="1859"/>
      <c r="DZ110" s="1859"/>
      <c r="EA110" s="1859"/>
      <c r="EB110" s="1859"/>
      <c r="EC110" s="1859"/>
      <c r="ED110" s="1859"/>
      <c r="EE110" s="1859"/>
      <c r="EF110" s="1859"/>
      <c r="EG110" s="1859"/>
      <c r="EH110" s="1859"/>
      <c r="EI110" s="1859"/>
      <c r="EJ110" s="1859"/>
      <c r="EK110" s="1859"/>
      <c r="EL110" s="1859"/>
      <c r="EM110" s="1859"/>
      <c r="EN110" s="1859"/>
      <c r="EO110" s="1859"/>
      <c r="EP110" s="1859"/>
      <c r="EQ110" s="1859"/>
      <c r="ER110" s="1859"/>
      <c r="ES110" s="1859"/>
      <c r="ET110" s="1859"/>
      <c r="EU110" s="1859"/>
      <c r="EV110" s="1859"/>
      <c r="EW110" s="1859"/>
      <c r="EX110" s="1859"/>
      <c r="EY110" s="1859"/>
      <c r="EZ110" s="1859"/>
      <c r="FA110" s="1859"/>
      <c r="FB110" s="1859"/>
      <c r="FC110" s="1859"/>
      <c r="FD110" s="1859"/>
      <c r="FE110" s="1859"/>
      <c r="FF110" s="1859"/>
      <c r="FG110" s="1859"/>
      <c r="FH110" s="1859"/>
      <c r="FI110" s="1859"/>
      <c r="FJ110" s="1859"/>
      <c r="FK110" s="1859"/>
      <c r="FL110" s="1859"/>
      <c r="FM110" s="1859"/>
      <c r="FN110" s="1859"/>
      <c r="FO110" s="1859"/>
      <c r="FP110" s="1859"/>
      <c r="FQ110" s="1859"/>
      <c r="FR110" s="1859"/>
      <c r="FS110" s="1859"/>
      <c r="FT110" s="1859"/>
      <c r="FU110" s="1859"/>
      <c r="FV110" s="1859"/>
      <c r="FW110" s="1859"/>
      <c r="FX110" s="1859"/>
      <c r="FY110" s="1859"/>
      <c r="FZ110" s="1859"/>
      <c r="GA110" s="1859"/>
      <c r="GB110" s="1859"/>
      <c r="GC110" s="1859"/>
      <c r="GD110" s="1859"/>
      <c r="GE110" s="1859"/>
      <c r="GF110" s="1859"/>
      <c r="GG110" s="1859"/>
      <c r="GH110" s="1859"/>
      <c r="GI110" s="1859"/>
      <c r="GJ110" s="1859"/>
      <c r="GK110" s="1859"/>
      <c r="GL110" s="1859"/>
      <c r="GM110" s="1859"/>
      <c r="GN110" s="1859"/>
      <c r="GO110" s="1859"/>
      <c r="GP110" s="1859"/>
      <c r="GQ110" s="1859"/>
      <c r="GR110" s="1859"/>
      <c r="GS110" s="1859"/>
      <c r="GT110" s="1859"/>
      <c r="GU110" s="1859"/>
      <c r="GV110" s="1859"/>
      <c r="GW110" s="1859"/>
      <c r="GX110" s="1859"/>
      <c r="GY110" s="1859"/>
      <c r="GZ110" s="1859"/>
      <c r="HA110" s="1859"/>
      <c r="HB110" s="1859"/>
      <c r="HC110" s="1859"/>
      <c r="HD110" s="1859"/>
      <c r="HE110" s="1859"/>
      <c r="HF110" s="1859"/>
      <c r="HG110" s="1859"/>
      <c r="HH110" s="1859"/>
      <c r="HI110" s="1859"/>
      <c r="HJ110" s="1859"/>
      <c r="HK110" s="1859"/>
      <c r="HL110" s="1859"/>
      <c r="HM110" s="1859"/>
      <c r="HN110" s="1859"/>
      <c r="HO110" s="1859"/>
      <c r="HP110" s="1859"/>
      <c r="HQ110" s="1859"/>
      <c r="HR110" s="1859"/>
      <c r="HS110" s="1859"/>
      <c r="HT110" s="1859"/>
      <c r="HU110" s="1859"/>
      <c r="HV110" s="1859"/>
      <c r="HW110" s="1859"/>
      <c r="HX110" s="1859"/>
      <c r="HY110" s="1859"/>
      <c r="HZ110" s="1859"/>
      <c r="IA110" s="1859"/>
      <c r="IB110" s="1859"/>
      <c r="IC110" s="1859"/>
      <c r="ID110" s="1859"/>
      <c r="IE110" s="1859"/>
      <c r="IF110" s="1859"/>
      <c r="IG110" s="1859"/>
      <c r="IH110" s="1859"/>
      <c r="II110" s="1859"/>
      <c r="IJ110" s="1859"/>
      <c r="IK110" s="1859"/>
      <c r="IL110" s="1859"/>
      <c r="IM110" s="1859"/>
      <c r="IN110" s="1859"/>
      <c r="IO110" s="1859"/>
      <c r="IP110" s="1859"/>
      <c r="IQ110" s="1859"/>
      <c r="IR110" s="1859"/>
      <c r="IS110" s="1859"/>
      <c r="IT110" s="1859"/>
      <c r="IU110" s="1859"/>
      <c r="IV110" s="1859"/>
    </row>
    <row r="111" spans="1:256" s="27" customFormat="1" ht="15.75" customHeight="1" thickTop="1" x14ac:dyDescent="0.25">
      <c r="A111" s="79"/>
      <c r="B111" s="595"/>
      <c r="C111" s="569"/>
      <c r="D111" s="567"/>
      <c r="E111" s="567"/>
      <c r="F111" s="568"/>
      <c r="G111" s="567"/>
      <c r="H111" s="567"/>
      <c r="I111" s="571"/>
      <c r="J111" s="727"/>
      <c r="K111" s="655"/>
      <c r="L111" s="79"/>
      <c r="M111" s="79"/>
      <c r="N111" s="1849"/>
      <c r="O111" s="1849"/>
      <c r="P111" s="1849"/>
      <c r="Q111" s="1849"/>
      <c r="R111" s="1849"/>
      <c r="S111" s="1859"/>
      <c r="T111" s="1859"/>
      <c r="U111" s="1859"/>
      <c r="V111" s="1859"/>
      <c r="W111" s="1859"/>
      <c r="X111" s="1859"/>
      <c r="Y111" s="1859"/>
      <c r="Z111" s="1859"/>
      <c r="AA111" s="1859"/>
      <c r="AB111" s="1859"/>
      <c r="AC111" s="1859"/>
      <c r="AD111" s="1859"/>
      <c r="AE111" s="1859"/>
      <c r="AF111" s="1859"/>
      <c r="AG111" s="1859"/>
      <c r="AH111" s="1859"/>
      <c r="AI111" s="1859"/>
      <c r="AJ111" s="1859"/>
      <c r="AK111" s="1859"/>
      <c r="AL111" s="1859"/>
      <c r="AM111" s="1859"/>
      <c r="AN111" s="1859"/>
      <c r="AO111" s="1859"/>
      <c r="AP111" s="1859"/>
      <c r="AQ111" s="1859"/>
      <c r="AR111" s="1859"/>
      <c r="AS111" s="1859"/>
      <c r="AT111" s="1859"/>
      <c r="AU111" s="1859"/>
      <c r="AV111" s="1859"/>
      <c r="AW111" s="1859"/>
      <c r="AX111" s="1859"/>
      <c r="AY111" s="1859"/>
      <c r="AZ111" s="1859"/>
      <c r="BA111" s="1859"/>
      <c r="BB111" s="1859"/>
      <c r="BC111" s="1859"/>
      <c r="BD111" s="1859"/>
      <c r="BE111" s="1859"/>
      <c r="BF111" s="1859"/>
      <c r="BG111" s="1859"/>
      <c r="BH111" s="1859"/>
      <c r="BI111" s="1859"/>
      <c r="BJ111" s="1859"/>
      <c r="BK111" s="1859"/>
      <c r="BL111" s="1859"/>
      <c r="BM111" s="1859"/>
      <c r="BN111" s="1859"/>
      <c r="BO111" s="1859"/>
      <c r="BP111" s="1859"/>
      <c r="BQ111" s="1859"/>
      <c r="BR111" s="1859"/>
      <c r="BS111" s="1859"/>
      <c r="BT111" s="1859"/>
      <c r="BU111" s="1859"/>
      <c r="BV111" s="1859"/>
      <c r="BW111" s="1859"/>
      <c r="BX111" s="1859"/>
      <c r="BY111" s="1859"/>
      <c r="BZ111" s="1859"/>
      <c r="CA111" s="1859"/>
      <c r="CB111" s="1859"/>
      <c r="CC111" s="1859"/>
      <c r="CD111" s="1859"/>
      <c r="CE111" s="1859"/>
      <c r="CF111" s="1859"/>
      <c r="CG111" s="1859"/>
      <c r="CH111" s="1859"/>
      <c r="CI111" s="1859"/>
      <c r="CJ111" s="1859"/>
      <c r="CK111" s="1859"/>
      <c r="CL111" s="1859"/>
      <c r="CM111" s="1859"/>
      <c r="CN111" s="1859"/>
      <c r="CO111" s="1859"/>
      <c r="CP111" s="1859"/>
      <c r="CQ111" s="1859"/>
      <c r="CR111" s="1859"/>
      <c r="CS111" s="1859"/>
      <c r="CT111" s="1859"/>
      <c r="CU111" s="1859"/>
      <c r="CV111" s="1859"/>
      <c r="CW111" s="1859"/>
      <c r="CX111" s="1859"/>
      <c r="CY111" s="1859"/>
      <c r="CZ111" s="1859"/>
      <c r="DA111" s="1859"/>
      <c r="DB111" s="1859"/>
      <c r="DC111" s="1859"/>
      <c r="DD111" s="1859"/>
      <c r="DE111" s="1859"/>
      <c r="DF111" s="1859"/>
      <c r="DG111" s="1859"/>
      <c r="DH111" s="1859"/>
      <c r="DI111" s="1859"/>
      <c r="DJ111" s="1859"/>
      <c r="DK111" s="1859"/>
      <c r="DL111" s="1859"/>
      <c r="DM111" s="1859"/>
      <c r="DN111" s="1859"/>
      <c r="DO111" s="1859"/>
      <c r="DP111" s="1859"/>
      <c r="DQ111" s="1859"/>
      <c r="DR111" s="1859"/>
      <c r="DS111" s="1859"/>
      <c r="DT111" s="1859"/>
      <c r="DU111" s="1859"/>
      <c r="DV111" s="1859"/>
      <c r="DW111" s="1859"/>
      <c r="DX111" s="1859"/>
      <c r="DY111" s="1859"/>
      <c r="DZ111" s="1859"/>
      <c r="EA111" s="1859"/>
      <c r="EB111" s="1859"/>
      <c r="EC111" s="1859"/>
      <c r="ED111" s="1859"/>
      <c r="EE111" s="1859"/>
      <c r="EF111" s="1859"/>
      <c r="EG111" s="1859"/>
      <c r="EH111" s="1859"/>
      <c r="EI111" s="1859"/>
      <c r="EJ111" s="1859"/>
      <c r="EK111" s="1859"/>
      <c r="EL111" s="1859"/>
      <c r="EM111" s="1859"/>
      <c r="EN111" s="1859"/>
      <c r="EO111" s="1859"/>
      <c r="EP111" s="1859"/>
      <c r="EQ111" s="1859"/>
      <c r="ER111" s="1859"/>
      <c r="ES111" s="1859"/>
      <c r="ET111" s="1859"/>
      <c r="EU111" s="1859"/>
      <c r="EV111" s="1859"/>
      <c r="EW111" s="1859"/>
      <c r="EX111" s="1859"/>
      <c r="EY111" s="1859"/>
      <c r="EZ111" s="1859"/>
      <c r="FA111" s="1859"/>
      <c r="FB111" s="1859"/>
      <c r="FC111" s="1859"/>
      <c r="FD111" s="1859"/>
      <c r="FE111" s="1859"/>
      <c r="FF111" s="1859"/>
      <c r="FG111" s="1859"/>
      <c r="FH111" s="1859"/>
      <c r="FI111" s="1859"/>
      <c r="FJ111" s="1859"/>
      <c r="FK111" s="1859"/>
      <c r="FL111" s="1859"/>
      <c r="FM111" s="1859"/>
      <c r="FN111" s="1859"/>
      <c r="FO111" s="1859"/>
      <c r="FP111" s="1859"/>
      <c r="FQ111" s="1859"/>
      <c r="FR111" s="1859"/>
      <c r="FS111" s="1859"/>
      <c r="FT111" s="1859"/>
      <c r="FU111" s="1859"/>
      <c r="FV111" s="1859"/>
      <c r="FW111" s="1859"/>
      <c r="FX111" s="1859"/>
      <c r="FY111" s="1859"/>
      <c r="FZ111" s="1859"/>
      <c r="GA111" s="1859"/>
      <c r="GB111" s="1859"/>
      <c r="GC111" s="1859"/>
      <c r="GD111" s="1859"/>
      <c r="GE111" s="1859"/>
      <c r="GF111" s="1859"/>
      <c r="GG111" s="1859"/>
      <c r="GH111" s="1859"/>
      <c r="GI111" s="1859"/>
      <c r="GJ111" s="1859"/>
      <c r="GK111" s="1859"/>
      <c r="GL111" s="1859"/>
      <c r="GM111" s="1859"/>
      <c r="GN111" s="1859"/>
      <c r="GO111" s="1859"/>
      <c r="GP111" s="1859"/>
      <c r="GQ111" s="1859"/>
      <c r="GR111" s="1859"/>
      <c r="GS111" s="1859"/>
      <c r="GT111" s="1859"/>
      <c r="GU111" s="1859"/>
      <c r="GV111" s="1859"/>
      <c r="GW111" s="1859"/>
      <c r="GX111" s="1859"/>
      <c r="GY111" s="1859"/>
      <c r="GZ111" s="1859"/>
      <c r="HA111" s="1859"/>
      <c r="HB111" s="1859"/>
      <c r="HC111" s="1859"/>
      <c r="HD111" s="1859"/>
      <c r="HE111" s="1859"/>
      <c r="HF111" s="1859"/>
      <c r="HG111" s="1859"/>
      <c r="HH111" s="1859"/>
      <c r="HI111" s="1859"/>
      <c r="HJ111" s="1859"/>
      <c r="HK111" s="1859"/>
      <c r="HL111" s="1859"/>
      <c r="HM111" s="1859"/>
      <c r="HN111" s="1859"/>
      <c r="HO111" s="1859"/>
      <c r="HP111" s="1859"/>
      <c r="HQ111" s="1859"/>
      <c r="HR111" s="1859"/>
      <c r="HS111" s="1859"/>
      <c r="HT111" s="1859"/>
      <c r="HU111" s="1859"/>
      <c r="HV111" s="1859"/>
      <c r="HW111" s="1859"/>
      <c r="HX111" s="1859"/>
      <c r="HY111" s="1859"/>
      <c r="HZ111" s="1859"/>
      <c r="IA111" s="1859"/>
      <c r="IB111" s="1859"/>
      <c r="IC111" s="1859"/>
      <c r="ID111" s="1859"/>
      <c r="IE111" s="1859"/>
      <c r="IF111" s="1859"/>
      <c r="IG111" s="1859"/>
      <c r="IH111" s="1859"/>
      <c r="II111" s="1859"/>
      <c r="IJ111" s="1859"/>
      <c r="IK111" s="1859"/>
      <c r="IL111" s="1859"/>
      <c r="IM111" s="1859"/>
      <c r="IN111" s="1859"/>
      <c r="IO111" s="1859"/>
      <c r="IP111" s="1859"/>
      <c r="IQ111" s="1859"/>
      <c r="IR111" s="1859"/>
      <c r="IS111" s="1859"/>
      <c r="IT111" s="1859"/>
      <c r="IU111" s="1859"/>
      <c r="IV111" s="1859"/>
    </row>
    <row r="112" spans="1:256" s="27" customFormat="1" ht="15.75" customHeight="1" x14ac:dyDescent="0.25">
      <c r="A112" s="79"/>
      <c r="B112" s="697" t="s">
        <v>340</v>
      </c>
      <c r="C112" s="673" t="str">
        <f>CONCATENATE("All ",TestYear-1," and test year ",TestYear," estimates that vary from the three year average by")</f>
        <v>All 2022 and test year 2023 estimates that vary from the three year average by</v>
      </c>
      <c r="D112" s="648"/>
      <c r="E112" s="648"/>
      <c r="F112" s="648"/>
      <c r="G112" s="569"/>
      <c r="H112" s="537"/>
      <c r="I112" s="731"/>
      <c r="J112" s="656"/>
      <c r="K112" s="657"/>
      <c r="L112" s="79"/>
      <c r="M112" s="79"/>
      <c r="N112" s="1849"/>
      <c r="O112" s="1849"/>
      <c r="P112" s="1849"/>
      <c r="Q112" s="1849"/>
      <c r="R112" s="1849"/>
      <c r="S112" s="1859"/>
      <c r="T112" s="1859"/>
      <c r="U112" s="1859"/>
      <c r="V112" s="1859"/>
      <c r="W112" s="1859"/>
      <c r="X112" s="1859"/>
      <c r="Y112" s="1859"/>
      <c r="Z112" s="1859"/>
      <c r="AA112" s="1859"/>
      <c r="AB112" s="1859"/>
      <c r="AC112" s="1859"/>
      <c r="AD112" s="1859"/>
      <c r="AE112" s="1859"/>
      <c r="AF112" s="1859"/>
      <c r="AG112" s="1859"/>
      <c r="AH112" s="1859"/>
      <c r="AI112" s="1859"/>
      <c r="AJ112" s="1859"/>
      <c r="AK112" s="1859"/>
      <c r="AL112" s="1859"/>
      <c r="AM112" s="1859"/>
      <c r="AN112" s="1859"/>
      <c r="AO112" s="1859"/>
      <c r="AP112" s="1859"/>
      <c r="AQ112" s="1859"/>
      <c r="AR112" s="1859"/>
      <c r="AS112" s="1859"/>
      <c r="AT112" s="1859"/>
      <c r="AU112" s="1859"/>
      <c r="AV112" s="1859"/>
      <c r="AW112" s="1859"/>
      <c r="AX112" s="1859"/>
      <c r="AY112" s="1859"/>
      <c r="AZ112" s="1859"/>
      <c r="BA112" s="1859"/>
      <c r="BB112" s="1859"/>
      <c r="BC112" s="1859"/>
      <c r="BD112" s="1859"/>
      <c r="BE112" s="1859"/>
      <c r="BF112" s="1859"/>
      <c r="BG112" s="1859"/>
      <c r="BH112" s="1859"/>
      <c r="BI112" s="1859"/>
      <c r="BJ112" s="1859"/>
      <c r="BK112" s="1859"/>
      <c r="BL112" s="1859"/>
      <c r="BM112" s="1859"/>
      <c r="BN112" s="1859"/>
      <c r="BO112" s="1859"/>
      <c r="BP112" s="1859"/>
      <c r="BQ112" s="1859"/>
      <c r="BR112" s="1859"/>
      <c r="BS112" s="1859"/>
      <c r="BT112" s="1859"/>
      <c r="BU112" s="1859"/>
      <c r="BV112" s="1859"/>
      <c r="BW112" s="1859"/>
      <c r="BX112" s="1859"/>
      <c r="BY112" s="1859"/>
      <c r="BZ112" s="1859"/>
      <c r="CA112" s="1859"/>
      <c r="CB112" s="1859"/>
      <c r="CC112" s="1859"/>
      <c r="CD112" s="1859"/>
      <c r="CE112" s="1859"/>
      <c r="CF112" s="1859"/>
      <c r="CG112" s="1859"/>
      <c r="CH112" s="1859"/>
      <c r="CI112" s="1859"/>
      <c r="CJ112" s="1859"/>
      <c r="CK112" s="1859"/>
      <c r="CL112" s="1859"/>
      <c r="CM112" s="1859"/>
      <c r="CN112" s="1859"/>
      <c r="CO112" s="1859"/>
      <c r="CP112" s="1859"/>
      <c r="CQ112" s="1859"/>
      <c r="CR112" s="1859"/>
      <c r="CS112" s="1859"/>
      <c r="CT112" s="1859"/>
      <c r="CU112" s="1859"/>
      <c r="CV112" s="1859"/>
      <c r="CW112" s="1859"/>
      <c r="CX112" s="1859"/>
      <c r="CY112" s="1859"/>
      <c r="CZ112" s="1859"/>
      <c r="DA112" s="1859"/>
      <c r="DB112" s="1859"/>
      <c r="DC112" s="1859"/>
      <c r="DD112" s="1859"/>
      <c r="DE112" s="1859"/>
      <c r="DF112" s="1859"/>
      <c r="DG112" s="1859"/>
      <c r="DH112" s="1859"/>
      <c r="DI112" s="1859"/>
      <c r="DJ112" s="1859"/>
      <c r="DK112" s="1859"/>
      <c r="DL112" s="1859"/>
      <c r="DM112" s="1859"/>
      <c r="DN112" s="1859"/>
      <c r="DO112" s="1859"/>
      <c r="DP112" s="1859"/>
      <c r="DQ112" s="1859"/>
      <c r="DR112" s="1859"/>
      <c r="DS112" s="1859"/>
      <c r="DT112" s="1859"/>
      <c r="DU112" s="1859"/>
      <c r="DV112" s="1859"/>
      <c r="DW112" s="1859"/>
      <c r="DX112" s="1859"/>
      <c r="DY112" s="1859"/>
      <c r="DZ112" s="1859"/>
      <c r="EA112" s="1859"/>
      <c r="EB112" s="1859"/>
      <c r="EC112" s="1859"/>
      <c r="ED112" s="1859"/>
      <c r="EE112" s="1859"/>
      <c r="EF112" s="1859"/>
      <c r="EG112" s="1859"/>
      <c r="EH112" s="1859"/>
      <c r="EI112" s="1859"/>
      <c r="EJ112" s="1859"/>
      <c r="EK112" s="1859"/>
      <c r="EL112" s="1859"/>
      <c r="EM112" s="1859"/>
      <c r="EN112" s="1859"/>
      <c r="EO112" s="1859"/>
      <c r="EP112" s="1859"/>
      <c r="EQ112" s="1859"/>
      <c r="ER112" s="1859"/>
      <c r="ES112" s="1859"/>
      <c r="ET112" s="1859"/>
      <c r="EU112" s="1859"/>
      <c r="EV112" s="1859"/>
      <c r="EW112" s="1859"/>
      <c r="EX112" s="1859"/>
      <c r="EY112" s="1859"/>
      <c r="EZ112" s="1859"/>
      <c r="FA112" s="1859"/>
      <c r="FB112" s="1859"/>
      <c r="FC112" s="1859"/>
      <c r="FD112" s="1859"/>
      <c r="FE112" s="1859"/>
      <c r="FF112" s="1859"/>
      <c r="FG112" s="1859"/>
      <c r="FH112" s="1859"/>
      <c r="FI112" s="1859"/>
      <c r="FJ112" s="1859"/>
      <c r="FK112" s="1859"/>
      <c r="FL112" s="1859"/>
      <c r="FM112" s="1859"/>
      <c r="FN112" s="1859"/>
      <c r="FO112" s="1859"/>
      <c r="FP112" s="1859"/>
      <c r="FQ112" s="1859"/>
      <c r="FR112" s="1859"/>
      <c r="FS112" s="1859"/>
      <c r="FT112" s="1859"/>
      <c r="FU112" s="1859"/>
      <c r="FV112" s="1859"/>
      <c r="FW112" s="1859"/>
      <c r="FX112" s="1859"/>
      <c r="FY112" s="1859"/>
      <c r="FZ112" s="1859"/>
      <c r="GA112" s="1859"/>
      <c r="GB112" s="1859"/>
      <c r="GC112" s="1859"/>
      <c r="GD112" s="1859"/>
      <c r="GE112" s="1859"/>
      <c r="GF112" s="1859"/>
      <c r="GG112" s="1859"/>
      <c r="GH112" s="1859"/>
      <c r="GI112" s="1859"/>
      <c r="GJ112" s="1859"/>
      <c r="GK112" s="1859"/>
      <c r="GL112" s="1859"/>
      <c r="GM112" s="1859"/>
      <c r="GN112" s="1859"/>
      <c r="GO112" s="1859"/>
      <c r="GP112" s="1859"/>
      <c r="GQ112" s="1859"/>
      <c r="GR112" s="1859"/>
      <c r="GS112" s="1859"/>
      <c r="GT112" s="1859"/>
      <c r="GU112" s="1859"/>
      <c r="GV112" s="1859"/>
      <c r="GW112" s="1859"/>
      <c r="GX112" s="1859"/>
      <c r="GY112" s="1859"/>
      <c r="GZ112" s="1859"/>
      <c r="HA112" s="1859"/>
      <c r="HB112" s="1859"/>
      <c r="HC112" s="1859"/>
      <c r="HD112" s="1859"/>
      <c r="HE112" s="1859"/>
      <c r="HF112" s="1859"/>
      <c r="HG112" s="1859"/>
      <c r="HH112" s="1859"/>
      <c r="HI112" s="1859"/>
      <c r="HJ112" s="1859"/>
      <c r="HK112" s="1859"/>
      <c r="HL112" s="1859"/>
      <c r="HM112" s="1859"/>
      <c r="HN112" s="1859"/>
      <c r="HO112" s="1859"/>
      <c r="HP112" s="1859"/>
      <c r="HQ112" s="1859"/>
      <c r="HR112" s="1859"/>
      <c r="HS112" s="1859"/>
      <c r="HT112" s="1859"/>
      <c r="HU112" s="1859"/>
      <c r="HV112" s="1859"/>
      <c r="HW112" s="1859"/>
      <c r="HX112" s="1859"/>
      <c r="HY112" s="1859"/>
      <c r="HZ112" s="1859"/>
      <c r="IA112" s="1859"/>
      <c r="IB112" s="1859"/>
      <c r="IC112" s="1859"/>
      <c r="ID112" s="1859"/>
      <c r="IE112" s="1859"/>
      <c r="IF112" s="1859"/>
      <c r="IG112" s="1859"/>
      <c r="IH112" s="1859"/>
      <c r="II112" s="1859"/>
      <c r="IJ112" s="1859"/>
      <c r="IK112" s="1859"/>
      <c r="IL112" s="1859"/>
      <c r="IM112" s="1859"/>
      <c r="IN112" s="1859"/>
      <c r="IO112" s="1859"/>
      <c r="IP112" s="1859"/>
      <c r="IQ112" s="1859"/>
      <c r="IR112" s="1859"/>
      <c r="IS112" s="1859"/>
      <c r="IT112" s="1859"/>
      <c r="IU112" s="1859"/>
      <c r="IV112" s="1859"/>
    </row>
    <row r="113" spans="1:256" ht="15.75" customHeight="1" x14ac:dyDescent="0.25">
      <c r="A113" s="78"/>
      <c r="B113" s="649"/>
      <c r="C113" s="648" t="s">
        <v>855</v>
      </c>
      <c r="D113" s="648"/>
      <c r="E113" s="648"/>
      <c r="F113" s="648"/>
      <c r="G113" s="477"/>
      <c r="H113" s="477"/>
      <c r="I113" s="477"/>
      <c r="J113" s="598"/>
      <c r="K113" s="626"/>
      <c r="L113" s="78"/>
      <c r="M113" s="78"/>
      <c r="N113" s="57"/>
      <c r="O113" s="57"/>
      <c r="P113" s="57"/>
      <c r="Q113" s="57"/>
      <c r="R113" s="57"/>
    </row>
    <row r="114" spans="1:256" ht="15.75" customHeight="1" x14ac:dyDescent="0.25">
      <c r="A114" s="78"/>
      <c r="B114" s="504"/>
      <c r="C114" s="477"/>
      <c r="D114" s="477"/>
      <c r="E114" s="477"/>
      <c r="F114" s="477"/>
      <c r="G114" s="477"/>
      <c r="H114" s="477"/>
      <c r="I114" s="477"/>
      <c r="J114" s="598"/>
      <c r="K114" s="626"/>
      <c r="L114" s="78"/>
      <c r="M114" s="78"/>
      <c r="N114" s="57"/>
      <c r="O114" s="57"/>
      <c r="P114" s="57"/>
      <c r="Q114" s="57"/>
      <c r="R114" s="57"/>
    </row>
    <row r="115" spans="1:256" ht="15.75" customHeight="1" thickBot="1" x14ac:dyDescent="0.3">
      <c r="A115" s="78"/>
      <c r="B115" s="508"/>
      <c r="C115" s="509"/>
      <c r="D115" s="509"/>
      <c r="E115" s="509"/>
      <c r="F115" s="509"/>
      <c r="G115" s="509"/>
      <c r="H115" s="509"/>
      <c r="I115" s="509"/>
      <c r="J115" s="608"/>
      <c r="K115" s="635"/>
      <c r="L115" s="78"/>
      <c r="M115" s="78"/>
      <c r="N115" s="57"/>
      <c r="O115" s="57"/>
      <c r="P115" s="57"/>
      <c r="Q115" s="57"/>
      <c r="R115" s="57"/>
    </row>
    <row r="116" spans="1:256" ht="13.8" thickTop="1" x14ac:dyDescent="0.25">
      <c r="A116" s="78"/>
      <c r="B116" s="468"/>
      <c r="C116" s="78"/>
      <c r="D116" s="78"/>
      <c r="E116" s="78"/>
      <c r="F116" s="78"/>
      <c r="G116" s="79"/>
      <c r="H116" s="78"/>
      <c r="I116" s="78"/>
      <c r="J116" s="553"/>
      <c r="K116" s="553"/>
      <c r="L116" s="78"/>
      <c r="M116" s="78"/>
      <c r="N116" s="57"/>
      <c r="O116" s="57"/>
      <c r="P116" s="57"/>
      <c r="Q116" s="57"/>
      <c r="R116" s="57"/>
    </row>
    <row r="117" spans="1:256" x14ac:dyDescent="0.25">
      <c r="A117" s="78"/>
      <c r="B117" s="2501" t="s">
        <v>1232</v>
      </c>
      <c r="C117" s="2502"/>
      <c r="D117" s="2502"/>
      <c r="E117" s="2502"/>
      <c r="F117" s="2502"/>
      <c r="G117" s="2502"/>
      <c r="H117" s="2502"/>
      <c r="I117" s="2502"/>
      <c r="J117" s="2502"/>
      <c r="K117" s="2503"/>
      <c r="L117" s="78"/>
      <c r="M117" s="78"/>
      <c r="N117" s="57"/>
      <c r="O117" s="57"/>
      <c r="P117" s="57"/>
      <c r="Q117" s="57"/>
      <c r="R117" s="57"/>
    </row>
    <row r="118" spans="1:256" s="78" customFormat="1" x14ac:dyDescent="0.25">
      <c r="B118" s="2504"/>
      <c r="C118" s="2505"/>
      <c r="D118" s="2505"/>
      <c r="E118" s="2505"/>
      <c r="F118" s="2505"/>
      <c r="G118" s="2505"/>
      <c r="H118" s="2505"/>
      <c r="I118" s="2505"/>
      <c r="J118" s="2505"/>
      <c r="K118" s="2506"/>
      <c r="N118" s="57"/>
      <c r="O118" s="57"/>
      <c r="P118" s="57"/>
      <c r="Q118" s="57"/>
      <c r="R118" s="57"/>
      <c r="S118" s="1708"/>
      <c r="T118" s="1708"/>
      <c r="U118" s="1708"/>
      <c r="V118" s="1708"/>
      <c r="W118" s="1708"/>
      <c r="X118" s="1708"/>
      <c r="Y118" s="1708"/>
      <c r="Z118" s="1708"/>
      <c r="AA118" s="1708"/>
      <c r="AB118" s="1708"/>
      <c r="AC118" s="1708"/>
      <c r="AD118" s="1708"/>
      <c r="AE118" s="1708"/>
      <c r="AF118" s="1708"/>
      <c r="AG118" s="1708"/>
      <c r="AH118" s="1708"/>
      <c r="AI118" s="1708"/>
      <c r="AJ118" s="1708"/>
      <c r="AK118" s="1708"/>
      <c r="AL118" s="1708"/>
      <c r="AM118" s="1708"/>
      <c r="AN118" s="1708"/>
      <c r="AO118" s="1708"/>
      <c r="AP118" s="1708"/>
      <c r="AQ118" s="1708"/>
      <c r="AR118" s="1708"/>
      <c r="AS118" s="1708"/>
      <c r="AT118" s="1708"/>
      <c r="AU118" s="1708"/>
      <c r="AV118" s="1708"/>
      <c r="AW118" s="1708"/>
      <c r="AX118" s="1708"/>
      <c r="AY118" s="1708"/>
      <c r="AZ118" s="1708"/>
      <c r="BA118" s="1708"/>
      <c r="BB118" s="1708"/>
      <c r="BC118" s="1708"/>
      <c r="BD118" s="1708"/>
      <c r="BE118" s="1708"/>
      <c r="BF118" s="1708"/>
      <c r="BG118" s="1708"/>
      <c r="BH118" s="1708"/>
      <c r="BI118" s="1708"/>
      <c r="BJ118" s="1708"/>
      <c r="BK118" s="1708"/>
      <c r="BL118" s="1708"/>
      <c r="BM118" s="1708"/>
      <c r="BN118" s="1708"/>
      <c r="BO118" s="1708"/>
      <c r="BP118" s="1708"/>
      <c r="BQ118" s="1708"/>
      <c r="BR118" s="1708"/>
      <c r="BS118" s="1708"/>
      <c r="BT118" s="1708"/>
      <c r="BU118" s="1708"/>
      <c r="BV118" s="1708"/>
      <c r="BW118" s="1708"/>
      <c r="BX118" s="1708"/>
      <c r="BY118" s="1708"/>
      <c r="BZ118" s="1708"/>
      <c r="CA118" s="1708"/>
      <c r="CB118" s="1708"/>
      <c r="CC118" s="1708"/>
      <c r="CD118" s="1708"/>
      <c r="CE118" s="1708"/>
      <c r="CF118" s="1708"/>
      <c r="CG118" s="1708"/>
      <c r="CH118" s="1708"/>
      <c r="CI118" s="1708"/>
      <c r="CJ118" s="1708"/>
      <c r="CK118" s="1708"/>
      <c r="CL118" s="1708"/>
      <c r="CM118" s="1708"/>
      <c r="CN118" s="1708"/>
      <c r="CO118" s="1708"/>
      <c r="CP118" s="1708"/>
      <c r="CQ118" s="1708"/>
      <c r="CR118" s="1708"/>
      <c r="CS118" s="1708"/>
      <c r="CT118" s="1708"/>
      <c r="CU118" s="1708"/>
      <c r="CV118" s="1708"/>
      <c r="CW118" s="1708"/>
      <c r="CX118" s="1708"/>
      <c r="CY118" s="1708"/>
      <c r="CZ118" s="1708"/>
      <c r="DA118" s="1708"/>
      <c r="DB118" s="1708"/>
      <c r="DC118" s="1708"/>
      <c r="DD118" s="1708"/>
      <c r="DE118" s="1708"/>
      <c r="DF118" s="1708"/>
      <c r="DG118" s="1708"/>
      <c r="DH118" s="1708"/>
      <c r="DI118" s="1708"/>
      <c r="DJ118" s="1708"/>
      <c r="DK118" s="1708"/>
      <c r="DL118" s="1708"/>
      <c r="DM118" s="1708"/>
      <c r="DN118" s="1708"/>
      <c r="DO118" s="1708"/>
      <c r="DP118" s="1708"/>
      <c r="DQ118" s="1708"/>
      <c r="DR118" s="1708"/>
      <c r="DS118" s="1708"/>
      <c r="DT118" s="1708"/>
      <c r="DU118" s="1708"/>
      <c r="DV118" s="1708"/>
      <c r="DW118" s="1708"/>
      <c r="DX118" s="1708"/>
      <c r="DY118" s="1708"/>
      <c r="DZ118" s="1708"/>
      <c r="EA118" s="1708"/>
      <c r="EB118" s="1708"/>
      <c r="EC118" s="1708"/>
      <c r="ED118" s="1708"/>
      <c r="EE118" s="1708"/>
      <c r="EF118" s="1708"/>
      <c r="EG118" s="1708"/>
      <c r="EH118" s="1708"/>
      <c r="EI118" s="1708"/>
      <c r="EJ118" s="1708"/>
      <c r="EK118" s="1708"/>
      <c r="EL118" s="1708"/>
      <c r="EM118" s="1708"/>
      <c r="EN118" s="1708"/>
      <c r="EO118" s="1708"/>
      <c r="EP118" s="1708"/>
      <c r="EQ118" s="1708"/>
      <c r="ER118" s="1708"/>
      <c r="ES118" s="1708"/>
      <c r="ET118" s="1708"/>
      <c r="EU118" s="1708"/>
      <c r="EV118" s="1708"/>
      <c r="EW118" s="1708"/>
      <c r="EX118" s="1708"/>
      <c r="EY118" s="1708"/>
      <c r="EZ118" s="1708"/>
      <c r="FA118" s="1708"/>
      <c r="FB118" s="1708"/>
      <c r="FC118" s="1708"/>
      <c r="FD118" s="1708"/>
      <c r="FE118" s="1708"/>
      <c r="FF118" s="1708"/>
      <c r="FG118" s="1708"/>
      <c r="FH118" s="1708"/>
      <c r="FI118" s="1708"/>
      <c r="FJ118" s="1708"/>
      <c r="FK118" s="1708"/>
      <c r="FL118" s="1708"/>
      <c r="FM118" s="1708"/>
      <c r="FN118" s="1708"/>
      <c r="FO118" s="1708"/>
      <c r="FP118" s="1708"/>
      <c r="FQ118" s="1708"/>
      <c r="FR118" s="1708"/>
      <c r="FS118" s="1708"/>
      <c r="FT118" s="1708"/>
      <c r="FU118" s="1708"/>
      <c r="FV118" s="1708"/>
      <c r="FW118" s="1708"/>
      <c r="FX118" s="1708"/>
      <c r="FY118" s="1708"/>
      <c r="FZ118" s="1708"/>
      <c r="GA118" s="1708"/>
      <c r="GB118" s="1708"/>
      <c r="GC118" s="1708"/>
      <c r="GD118" s="1708"/>
      <c r="GE118" s="1708"/>
      <c r="GF118" s="1708"/>
      <c r="GG118" s="1708"/>
      <c r="GH118" s="1708"/>
      <c r="GI118" s="1708"/>
      <c r="GJ118" s="1708"/>
      <c r="GK118" s="1708"/>
      <c r="GL118" s="1708"/>
      <c r="GM118" s="1708"/>
      <c r="GN118" s="1708"/>
      <c r="GO118" s="1708"/>
      <c r="GP118" s="1708"/>
      <c r="GQ118" s="1708"/>
      <c r="GR118" s="1708"/>
      <c r="GS118" s="1708"/>
      <c r="GT118" s="1708"/>
      <c r="GU118" s="1708"/>
      <c r="GV118" s="1708"/>
      <c r="GW118" s="1708"/>
      <c r="GX118" s="1708"/>
      <c r="GY118" s="1708"/>
      <c r="GZ118" s="1708"/>
      <c r="HA118" s="1708"/>
      <c r="HB118" s="1708"/>
      <c r="HC118" s="1708"/>
      <c r="HD118" s="1708"/>
      <c r="HE118" s="1708"/>
      <c r="HF118" s="1708"/>
      <c r="HG118" s="1708"/>
      <c r="HH118" s="1708"/>
      <c r="HI118" s="1708"/>
      <c r="HJ118" s="1708"/>
      <c r="HK118" s="1708"/>
      <c r="HL118" s="1708"/>
      <c r="HM118" s="1708"/>
      <c r="HN118" s="1708"/>
      <c r="HO118" s="1708"/>
      <c r="HP118" s="1708"/>
      <c r="HQ118" s="1708"/>
      <c r="HR118" s="1708"/>
      <c r="HS118" s="1708"/>
      <c r="HT118" s="1708"/>
      <c r="HU118" s="1708"/>
      <c r="HV118" s="1708"/>
      <c r="HW118" s="1708"/>
      <c r="HX118" s="1708"/>
      <c r="HY118" s="1708"/>
      <c r="HZ118" s="1708"/>
      <c r="IA118" s="1708"/>
      <c r="IB118" s="1708"/>
      <c r="IC118" s="1708"/>
      <c r="ID118" s="1708"/>
      <c r="IE118" s="1708"/>
      <c r="IF118" s="1708"/>
      <c r="IG118" s="1708"/>
      <c r="IH118" s="1708"/>
      <c r="II118" s="1708"/>
      <c r="IJ118" s="1708"/>
      <c r="IK118" s="1708"/>
      <c r="IL118" s="1708"/>
      <c r="IM118" s="1708"/>
      <c r="IN118" s="1708"/>
      <c r="IO118" s="1708"/>
      <c r="IP118" s="1708"/>
      <c r="IQ118" s="1708"/>
      <c r="IR118" s="1708"/>
      <c r="IS118" s="1708"/>
      <c r="IT118" s="1708"/>
      <c r="IU118" s="1708"/>
      <c r="IV118" s="1708"/>
    </row>
    <row r="119" spans="1:256" s="78" customFormat="1" x14ac:dyDescent="0.25">
      <c r="B119" s="1851"/>
      <c r="C119" s="2507"/>
      <c r="D119" s="2508"/>
      <c r="E119" s="2508"/>
      <c r="F119" s="2508"/>
      <c r="G119" s="2508"/>
      <c r="H119" s="2508"/>
      <c r="I119" s="2508"/>
      <c r="J119" s="2509"/>
      <c r="K119" s="1852"/>
      <c r="N119" s="57"/>
      <c r="O119" s="57"/>
      <c r="P119" s="57"/>
      <c r="Q119" s="57"/>
      <c r="R119" s="57"/>
      <c r="S119" s="1708"/>
      <c r="T119" s="1708"/>
      <c r="U119" s="1708"/>
      <c r="V119" s="1708"/>
      <c r="W119" s="1708"/>
      <c r="X119" s="1708"/>
      <c r="Y119" s="1708"/>
      <c r="Z119" s="1708"/>
      <c r="AA119" s="1708"/>
      <c r="AB119" s="1708"/>
      <c r="AC119" s="1708"/>
      <c r="AD119" s="1708"/>
      <c r="AE119" s="1708"/>
      <c r="AF119" s="1708"/>
      <c r="AG119" s="1708"/>
      <c r="AH119" s="1708"/>
      <c r="AI119" s="1708"/>
      <c r="AJ119" s="1708"/>
      <c r="AK119" s="1708"/>
      <c r="AL119" s="1708"/>
      <c r="AM119" s="1708"/>
      <c r="AN119" s="1708"/>
      <c r="AO119" s="1708"/>
      <c r="AP119" s="1708"/>
      <c r="AQ119" s="1708"/>
      <c r="AR119" s="1708"/>
      <c r="AS119" s="1708"/>
      <c r="AT119" s="1708"/>
      <c r="AU119" s="1708"/>
      <c r="AV119" s="1708"/>
      <c r="AW119" s="1708"/>
      <c r="AX119" s="1708"/>
      <c r="AY119" s="1708"/>
      <c r="AZ119" s="1708"/>
      <c r="BA119" s="1708"/>
      <c r="BB119" s="1708"/>
      <c r="BC119" s="1708"/>
      <c r="BD119" s="1708"/>
      <c r="BE119" s="1708"/>
      <c r="BF119" s="1708"/>
      <c r="BG119" s="1708"/>
      <c r="BH119" s="1708"/>
      <c r="BI119" s="1708"/>
      <c r="BJ119" s="1708"/>
      <c r="BK119" s="1708"/>
      <c r="BL119" s="1708"/>
      <c r="BM119" s="1708"/>
      <c r="BN119" s="1708"/>
      <c r="BO119" s="1708"/>
      <c r="BP119" s="1708"/>
      <c r="BQ119" s="1708"/>
      <c r="BR119" s="1708"/>
      <c r="BS119" s="1708"/>
      <c r="BT119" s="1708"/>
      <c r="BU119" s="1708"/>
      <c r="BV119" s="1708"/>
      <c r="BW119" s="1708"/>
      <c r="BX119" s="1708"/>
      <c r="BY119" s="1708"/>
      <c r="BZ119" s="1708"/>
      <c r="CA119" s="1708"/>
      <c r="CB119" s="1708"/>
      <c r="CC119" s="1708"/>
      <c r="CD119" s="1708"/>
      <c r="CE119" s="1708"/>
      <c r="CF119" s="1708"/>
      <c r="CG119" s="1708"/>
      <c r="CH119" s="1708"/>
      <c r="CI119" s="1708"/>
      <c r="CJ119" s="1708"/>
      <c r="CK119" s="1708"/>
      <c r="CL119" s="1708"/>
      <c r="CM119" s="1708"/>
      <c r="CN119" s="1708"/>
      <c r="CO119" s="1708"/>
      <c r="CP119" s="1708"/>
      <c r="CQ119" s="1708"/>
      <c r="CR119" s="1708"/>
      <c r="CS119" s="1708"/>
      <c r="CT119" s="1708"/>
      <c r="CU119" s="1708"/>
      <c r="CV119" s="1708"/>
      <c r="CW119" s="1708"/>
      <c r="CX119" s="1708"/>
      <c r="CY119" s="1708"/>
      <c r="CZ119" s="1708"/>
      <c r="DA119" s="1708"/>
      <c r="DB119" s="1708"/>
      <c r="DC119" s="1708"/>
      <c r="DD119" s="1708"/>
      <c r="DE119" s="1708"/>
      <c r="DF119" s="1708"/>
      <c r="DG119" s="1708"/>
      <c r="DH119" s="1708"/>
      <c r="DI119" s="1708"/>
      <c r="DJ119" s="1708"/>
      <c r="DK119" s="1708"/>
      <c r="DL119" s="1708"/>
      <c r="DM119" s="1708"/>
      <c r="DN119" s="1708"/>
      <c r="DO119" s="1708"/>
      <c r="DP119" s="1708"/>
      <c r="DQ119" s="1708"/>
      <c r="DR119" s="1708"/>
      <c r="DS119" s="1708"/>
      <c r="DT119" s="1708"/>
      <c r="DU119" s="1708"/>
      <c r="DV119" s="1708"/>
      <c r="DW119" s="1708"/>
      <c r="DX119" s="1708"/>
      <c r="DY119" s="1708"/>
      <c r="DZ119" s="1708"/>
      <c r="EA119" s="1708"/>
      <c r="EB119" s="1708"/>
      <c r="EC119" s="1708"/>
      <c r="ED119" s="1708"/>
      <c r="EE119" s="1708"/>
      <c r="EF119" s="1708"/>
      <c r="EG119" s="1708"/>
      <c r="EH119" s="1708"/>
      <c r="EI119" s="1708"/>
      <c r="EJ119" s="1708"/>
      <c r="EK119" s="1708"/>
      <c r="EL119" s="1708"/>
      <c r="EM119" s="1708"/>
      <c r="EN119" s="1708"/>
      <c r="EO119" s="1708"/>
      <c r="EP119" s="1708"/>
      <c r="EQ119" s="1708"/>
      <c r="ER119" s="1708"/>
      <c r="ES119" s="1708"/>
      <c r="ET119" s="1708"/>
      <c r="EU119" s="1708"/>
      <c r="EV119" s="1708"/>
      <c r="EW119" s="1708"/>
      <c r="EX119" s="1708"/>
      <c r="EY119" s="1708"/>
      <c r="EZ119" s="1708"/>
      <c r="FA119" s="1708"/>
      <c r="FB119" s="1708"/>
      <c r="FC119" s="1708"/>
      <c r="FD119" s="1708"/>
      <c r="FE119" s="1708"/>
      <c r="FF119" s="1708"/>
      <c r="FG119" s="1708"/>
      <c r="FH119" s="1708"/>
      <c r="FI119" s="1708"/>
      <c r="FJ119" s="1708"/>
      <c r="FK119" s="1708"/>
      <c r="FL119" s="1708"/>
      <c r="FM119" s="1708"/>
      <c r="FN119" s="1708"/>
      <c r="FO119" s="1708"/>
      <c r="FP119" s="1708"/>
      <c r="FQ119" s="1708"/>
      <c r="FR119" s="1708"/>
      <c r="FS119" s="1708"/>
      <c r="FT119" s="1708"/>
      <c r="FU119" s="1708"/>
      <c r="FV119" s="1708"/>
      <c r="FW119" s="1708"/>
      <c r="FX119" s="1708"/>
      <c r="FY119" s="1708"/>
      <c r="FZ119" s="1708"/>
      <c r="GA119" s="1708"/>
      <c r="GB119" s="1708"/>
      <c r="GC119" s="1708"/>
      <c r="GD119" s="1708"/>
      <c r="GE119" s="1708"/>
      <c r="GF119" s="1708"/>
      <c r="GG119" s="1708"/>
      <c r="GH119" s="1708"/>
      <c r="GI119" s="1708"/>
      <c r="GJ119" s="1708"/>
      <c r="GK119" s="1708"/>
      <c r="GL119" s="1708"/>
      <c r="GM119" s="1708"/>
      <c r="GN119" s="1708"/>
      <c r="GO119" s="1708"/>
      <c r="GP119" s="1708"/>
      <c r="GQ119" s="1708"/>
      <c r="GR119" s="1708"/>
      <c r="GS119" s="1708"/>
      <c r="GT119" s="1708"/>
      <c r="GU119" s="1708"/>
      <c r="GV119" s="1708"/>
      <c r="GW119" s="1708"/>
      <c r="GX119" s="1708"/>
      <c r="GY119" s="1708"/>
      <c r="GZ119" s="1708"/>
      <c r="HA119" s="1708"/>
      <c r="HB119" s="1708"/>
      <c r="HC119" s="1708"/>
      <c r="HD119" s="1708"/>
      <c r="HE119" s="1708"/>
      <c r="HF119" s="1708"/>
      <c r="HG119" s="1708"/>
      <c r="HH119" s="1708"/>
      <c r="HI119" s="1708"/>
      <c r="HJ119" s="1708"/>
      <c r="HK119" s="1708"/>
      <c r="HL119" s="1708"/>
      <c r="HM119" s="1708"/>
      <c r="HN119" s="1708"/>
      <c r="HO119" s="1708"/>
      <c r="HP119" s="1708"/>
      <c r="HQ119" s="1708"/>
      <c r="HR119" s="1708"/>
      <c r="HS119" s="1708"/>
      <c r="HT119" s="1708"/>
      <c r="HU119" s="1708"/>
      <c r="HV119" s="1708"/>
      <c r="HW119" s="1708"/>
      <c r="HX119" s="1708"/>
      <c r="HY119" s="1708"/>
      <c r="HZ119" s="1708"/>
      <c r="IA119" s="1708"/>
      <c r="IB119" s="1708"/>
      <c r="IC119" s="1708"/>
      <c r="ID119" s="1708"/>
      <c r="IE119" s="1708"/>
      <c r="IF119" s="1708"/>
      <c r="IG119" s="1708"/>
      <c r="IH119" s="1708"/>
      <c r="II119" s="1708"/>
      <c r="IJ119" s="1708"/>
      <c r="IK119" s="1708"/>
      <c r="IL119" s="1708"/>
      <c r="IM119" s="1708"/>
      <c r="IN119" s="1708"/>
      <c r="IO119" s="1708"/>
      <c r="IP119" s="1708"/>
      <c r="IQ119" s="1708"/>
      <c r="IR119" s="1708"/>
      <c r="IS119" s="1708"/>
      <c r="IT119" s="1708"/>
      <c r="IU119" s="1708"/>
      <c r="IV119" s="1708"/>
    </row>
    <row r="120" spans="1:256" s="78" customFormat="1" x14ac:dyDescent="0.25">
      <c r="B120" s="1851"/>
      <c r="C120" s="2510"/>
      <c r="D120" s="2511"/>
      <c r="E120" s="2511"/>
      <c r="F120" s="2511"/>
      <c r="G120" s="2511"/>
      <c r="H120" s="2511"/>
      <c r="I120" s="2511"/>
      <c r="J120" s="2512"/>
      <c r="K120" s="1852"/>
      <c r="N120" s="57"/>
      <c r="O120" s="57"/>
      <c r="P120" s="57"/>
      <c r="Q120" s="57"/>
      <c r="R120" s="57"/>
      <c r="S120" s="1708"/>
      <c r="T120" s="1708"/>
      <c r="U120" s="1708"/>
      <c r="V120" s="1708"/>
      <c r="W120" s="1708"/>
      <c r="X120" s="1708"/>
      <c r="Y120" s="1708"/>
      <c r="Z120" s="1708"/>
      <c r="AA120" s="1708"/>
      <c r="AB120" s="1708"/>
      <c r="AC120" s="1708"/>
      <c r="AD120" s="1708"/>
      <c r="AE120" s="1708"/>
      <c r="AF120" s="1708"/>
      <c r="AG120" s="1708"/>
      <c r="AH120" s="1708"/>
      <c r="AI120" s="1708"/>
      <c r="AJ120" s="1708"/>
      <c r="AK120" s="1708"/>
      <c r="AL120" s="1708"/>
      <c r="AM120" s="1708"/>
      <c r="AN120" s="1708"/>
      <c r="AO120" s="1708"/>
      <c r="AP120" s="1708"/>
      <c r="AQ120" s="1708"/>
      <c r="AR120" s="1708"/>
      <c r="AS120" s="1708"/>
      <c r="AT120" s="1708"/>
      <c r="AU120" s="1708"/>
      <c r="AV120" s="1708"/>
      <c r="AW120" s="1708"/>
      <c r="AX120" s="1708"/>
      <c r="AY120" s="1708"/>
      <c r="AZ120" s="1708"/>
      <c r="BA120" s="1708"/>
      <c r="BB120" s="1708"/>
      <c r="BC120" s="1708"/>
      <c r="BD120" s="1708"/>
      <c r="BE120" s="1708"/>
      <c r="BF120" s="1708"/>
      <c r="BG120" s="1708"/>
      <c r="BH120" s="1708"/>
      <c r="BI120" s="1708"/>
      <c r="BJ120" s="1708"/>
      <c r="BK120" s="1708"/>
      <c r="BL120" s="1708"/>
      <c r="BM120" s="1708"/>
      <c r="BN120" s="1708"/>
      <c r="BO120" s="1708"/>
      <c r="BP120" s="1708"/>
      <c r="BQ120" s="1708"/>
      <c r="BR120" s="1708"/>
      <c r="BS120" s="1708"/>
      <c r="BT120" s="1708"/>
      <c r="BU120" s="1708"/>
      <c r="BV120" s="1708"/>
      <c r="BW120" s="1708"/>
      <c r="BX120" s="1708"/>
      <c r="BY120" s="1708"/>
      <c r="BZ120" s="1708"/>
      <c r="CA120" s="1708"/>
      <c r="CB120" s="1708"/>
      <c r="CC120" s="1708"/>
      <c r="CD120" s="1708"/>
      <c r="CE120" s="1708"/>
      <c r="CF120" s="1708"/>
      <c r="CG120" s="1708"/>
      <c r="CH120" s="1708"/>
      <c r="CI120" s="1708"/>
      <c r="CJ120" s="1708"/>
      <c r="CK120" s="1708"/>
      <c r="CL120" s="1708"/>
      <c r="CM120" s="1708"/>
      <c r="CN120" s="1708"/>
      <c r="CO120" s="1708"/>
      <c r="CP120" s="1708"/>
      <c r="CQ120" s="1708"/>
      <c r="CR120" s="1708"/>
      <c r="CS120" s="1708"/>
      <c r="CT120" s="1708"/>
      <c r="CU120" s="1708"/>
      <c r="CV120" s="1708"/>
      <c r="CW120" s="1708"/>
      <c r="CX120" s="1708"/>
      <c r="CY120" s="1708"/>
      <c r="CZ120" s="1708"/>
      <c r="DA120" s="1708"/>
      <c r="DB120" s="1708"/>
      <c r="DC120" s="1708"/>
      <c r="DD120" s="1708"/>
      <c r="DE120" s="1708"/>
      <c r="DF120" s="1708"/>
      <c r="DG120" s="1708"/>
      <c r="DH120" s="1708"/>
      <c r="DI120" s="1708"/>
      <c r="DJ120" s="1708"/>
      <c r="DK120" s="1708"/>
      <c r="DL120" s="1708"/>
      <c r="DM120" s="1708"/>
      <c r="DN120" s="1708"/>
      <c r="DO120" s="1708"/>
      <c r="DP120" s="1708"/>
      <c r="DQ120" s="1708"/>
      <c r="DR120" s="1708"/>
      <c r="DS120" s="1708"/>
      <c r="DT120" s="1708"/>
      <c r="DU120" s="1708"/>
      <c r="DV120" s="1708"/>
      <c r="DW120" s="1708"/>
      <c r="DX120" s="1708"/>
      <c r="DY120" s="1708"/>
      <c r="DZ120" s="1708"/>
      <c r="EA120" s="1708"/>
      <c r="EB120" s="1708"/>
      <c r="EC120" s="1708"/>
      <c r="ED120" s="1708"/>
      <c r="EE120" s="1708"/>
      <c r="EF120" s="1708"/>
      <c r="EG120" s="1708"/>
      <c r="EH120" s="1708"/>
      <c r="EI120" s="1708"/>
      <c r="EJ120" s="1708"/>
      <c r="EK120" s="1708"/>
      <c r="EL120" s="1708"/>
      <c r="EM120" s="1708"/>
      <c r="EN120" s="1708"/>
      <c r="EO120" s="1708"/>
      <c r="EP120" s="1708"/>
      <c r="EQ120" s="1708"/>
      <c r="ER120" s="1708"/>
      <c r="ES120" s="1708"/>
      <c r="ET120" s="1708"/>
      <c r="EU120" s="1708"/>
      <c r="EV120" s="1708"/>
      <c r="EW120" s="1708"/>
      <c r="EX120" s="1708"/>
      <c r="EY120" s="1708"/>
      <c r="EZ120" s="1708"/>
      <c r="FA120" s="1708"/>
      <c r="FB120" s="1708"/>
      <c r="FC120" s="1708"/>
      <c r="FD120" s="1708"/>
      <c r="FE120" s="1708"/>
      <c r="FF120" s="1708"/>
      <c r="FG120" s="1708"/>
      <c r="FH120" s="1708"/>
      <c r="FI120" s="1708"/>
      <c r="FJ120" s="1708"/>
      <c r="FK120" s="1708"/>
      <c r="FL120" s="1708"/>
      <c r="FM120" s="1708"/>
      <c r="FN120" s="1708"/>
      <c r="FO120" s="1708"/>
      <c r="FP120" s="1708"/>
      <c r="FQ120" s="1708"/>
      <c r="FR120" s="1708"/>
      <c r="FS120" s="1708"/>
      <c r="FT120" s="1708"/>
      <c r="FU120" s="1708"/>
      <c r="FV120" s="1708"/>
      <c r="FW120" s="1708"/>
      <c r="FX120" s="1708"/>
      <c r="FY120" s="1708"/>
      <c r="FZ120" s="1708"/>
      <c r="GA120" s="1708"/>
      <c r="GB120" s="1708"/>
      <c r="GC120" s="1708"/>
      <c r="GD120" s="1708"/>
      <c r="GE120" s="1708"/>
      <c r="GF120" s="1708"/>
      <c r="GG120" s="1708"/>
      <c r="GH120" s="1708"/>
      <c r="GI120" s="1708"/>
      <c r="GJ120" s="1708"/>
      <c r="GK120" s="1708"/>
      <c r="GL120" s="1708"/>
      <c r="GM120" s="1708"/>
      <c r="GN120" s="1708"/>
      <c r="GO120" s="1708"/>
      <c r="GP120" s="1708"/>
      <c r="GQ120" s="1708"/>
      <c r="GR120" s="1708"/>
      <c r="GS120" s="1708"/>
      <c r="GT120" s="1708"/>
      <c r="GU120" s="1708"/>
      <c r="GV120" s="1708"/>
      <c r="GW120" s="1708"/>
      <c r="GX120" s="1708"/>
      <c r="GY120" s="1708"/>
      <c r="GZ120" s="1708"/>
      <c r="HA120" s="1708"/>
      <c r="HB120" s="1708"/>
      <c r="HC120" s="1708"/>
      <c r="HD120" s="1708"/>
      <c r="HE120" s="1708"/>
      <c r="HF120" s="1708"/>
      <c r="HG120" s="1708"/>
      <c r="HH120" s="1708"/>
      <c r="HI120" s="1708"/>
      <c r="HJ120" s="1708"/>
      <c r="HK120" s="1708"/>
      <c r="HL120" s="1708"/>
      <c r="HM120" s="1708"/>
      <c r="HN120" s="1708"/>
      <c r="HO120" s="1708"/>
      <c r="HP120" s="1708"/>
      <c r="HQ120" s="1708"/>
      <c r="HR120" s="1708"/>
      <c r="HS120" s="1708"/>
      <c r="HT120" s="1708"/>
      <c r="HU120" s="1708"/>
      <c r="HV120" s="1708"/>
      <c r="HW120" s="1708"/>
      <c r="HX120" s="1708"/>
      <c r="HY120" s="1708"/>
      <c r="HZ120" s="1708"/>
      <c r="IA120" s="1708"/>
      <c r="IB120" s="1708"/>
      <c r="IC120" s="1708"/>
      <c r="ID120" s="1708"/>
      <c r="IE120" s="1708"/>
      <c r="IF120" s="1708"/>
      <c r="IG120" s="1708"/>
      <c r="IH120" s="1708"/>
      <c r="II120" s="1708"/>
      <c r="IJ120" s="1708"/>
      <c r="IK120" s="1708"/>
      <c r="IL120" s="1708"/>
      <c r="IM120" s="1708"/>
      <c r="IN120" s="1708"/>
      <c r="IO120" s="1708"/>
      <c r="IP120" s="1708"/>
      <c r="IQ120" s="1708"/>
      <c r="IR120" s="1708"/>
      <c r="IS120" s="1708"/>
      <c r="IT120" s="1708"/>
      <c r="IU120" s="1708"/>
      <c r="IV120" s="1708"/>
    </row>
    <row r="121" spans="1:256" s="78" customFormat="1" x14ac:dyDescent="0.25">
      <c r="B121" s="1851"/>
      <c r="C121" s="2510"/>
      <c r="D121" s="2511"/>
      <c r="E121" s="2511"/>
      <c r="F121" s="2511"/>
      <c r="G121" s="2511"/>
      <c r="H121" s="2511"/>
      <c r="I121" s="2511"/>
      <c r="J121" s="2512"/>
      <c r="K121" s="1852"/>
      <c r="N121" s="57"/>
      <c r="O121" s="57"/>
      <c r="P121" s="57"/>
      <c r="Q121" s="57"/>
      <c r="R121" s="57"/>
      <c r="S121" s="1708"/>
      <c r="T121" s="1708"/>
      <c r="U121" s="1708"/>
      <c r="V121" s="1708"/>
      <c r="W121" s="1708"/>
      <c r="X121" s="1708"/>
      <c r="Y121" s="1708"/>
      <c r="Z121" s="1708"/>
      <c r="AA121" s="1708"/>
      <c r="AB121" s="1708"/>
      <c r="AC121" s="1708"/>
      <c r="AD121" s="1708"/>
      <c r="AE121" s="1708"/>
      <c r="AF121" s="1708"/>
      <c r="AG121" s="1708"/>
      <c r="AH121" s="1708"/>
      <c r="AI121" s="1708"/>
      <c r="AJ121" s="1708"/>
      <c r="AK121" s="1708"/>
      <c r="AL121" s="1708"/>
      <c r="AM121" s="1708"/>
      <c r="AN121" s="1708"/>
      <c r="AO121" s="1708"/>
      <c r="AP121" s="1708"/>
      <c r="AQ121" s="1708"/>
      <c r="AR121" s="1708"/>
      <c r="AS121" s="1708"/>
      <c r="AT121" s="1708"/>
      <c r="AU121" s="1708"/>
      <c r="AV121" s="1708"/>
      <c r="AW121" s="1708"/>
      <c r="AX121" s="1708"/>
      <c r="AY121" s="1708"/>
      <c r="AZ121" s="1708"/>
      <c r="BA121" s="1708"/>
      <c r="BB121" s="1708"/>
      <c r="BC121" s="1708"/>
      <c r="BD121" s="1708"/>
      <c r="BE121" s="1708"/>
      <c r="BF121" s="1708"/>
      <c r="BG121" s="1708"/>
      <c r="BH121" s="1708"/>
      <c r="BI121" s="1708"/>
      <c r="BJ121" s="1708"/>
      <c r="BK121" s="1708"/>
      <c r="BL121" s="1708"/>
      <c r="BM121" s="1708"/>
      <c r="BN121" s="1708"/>
      <c r="BO121" s="1708"/>
      <c r="BP121" s="1708"/>
      <c r="BQ121" s="1708"/>
      <c r="BR121" s="1708"/>
      <c r="BS121" s="1708"/>
      <c r="BT121" s="1708"/>
      <c r="BU121" s="1708"/>
      <c r="BV121" s="1708"/>
      <c r="BW121" s="1708"/>
      <c r="BX121" s="1708"/>
      <c r="BY121" s="1708"/>
      <c r="BZ121" s="1708"/>
      <c r="CA121" s="1708"/>
      <c r="CB121" s="1708"/>
      <c r="CC121" s="1708"/>
      <c r="CD121" s="1708"/>
      <c r="CE121" s="1708"/>
      <c r="CF121" s="1708"/>
      <c r="CG121" s="1708"/>
      <c r="CH121" s="1708"/>
      <c r="CI121" s="1708"/>
      <c r="CJ121" s="1708"/>
      <c r="CK121" s="1708"/>
      <c r="CL121" s="1708"/>
      <c r="CM121" s="1708"/>
      <c r="CN121" s="1708"/>
      <c r="CO121" s="1708"/>
      <c r="CP121" s="1708"/>
      <c r="CQ121" s="1708"/>
      <c r="CR121" s="1708"/>
      <c r="CS121" s="1708"/>
      <c r="CT121" s="1708"/>
      <c r="CU121" s="1708"/>
      <c r="CV121" s="1708"/>
      <c r="CW121" s="1708"/>
      <c r="CX121" s="1708"/>
      <c r="CY121" s="1708"/>
      <c r="CZ121" s="1708"/>
      <c r="DA121" s="1708"/>
      <c r="DB121" s="1708"/>
      <c r="DC121" s="1708"/>
      <c r="DD121" s="1708"/>
      <c r="DE121" s="1708"/>
      <c r="DF121" s="1708"/>
      <c r="DG121" s="1708"/>
      <c r="DH121" s="1708"/>
      <c r="DI121" s="1708"/>
      <c r="DJ121" s="1708"/>
      <c r="DK121" s="1708"/>
      <c r="DL121" s="1708"/>
      <c r="DM121" s="1708"/>
      <c r="DN121" s="1708"/>
      <c r="DO121" s="1708"/>
      <c r="DP121" s="1708"/>
      <c r="DQ121" s="1708"/>
      <c r="DR121" s="1708"/>
      <c r="DS121" s="1708"/>
      <c r="DT121" s="1708"/>
      <c r="DU121" s="1708"/>
      <c r="DV121" s="1708"/>
      <c r="DW121" s="1708"/>
      <c r="DX121" s="1708"/>
      <c r="DY121" s="1708"/>
      <c r="DZ121" s="1708"/>
      <c r="EA121" s="1708"/>
      <c r="EB121" s="1708"/>
      <c r="EC121" s="1708"/>
      <c r="ED121" s="1708"/>
      <c r="EE121" s="1708"/>
      <c r="EF121" s="1708"/>
      <c r="EG121" s="1708"/>
      <c r="EH121" s="1708"/>
      <c r="EI121" s="1708"/>
      <c r="EJ121" s="1708"/>
      <c r="EK121" s="1708"/>
      <c r="EL121" s="1708"/>
      <c r="EM121" s="1708"/>
      <c r="EN121" s="1708"/>
      <c r="EO121" s="1708"/>
      <c r="EP121" s="1708"/>
      <c r="EQ121" s="1708"/>
      <c r="ER121" s="1708"/>
      <c r="ES121" s="1708"/>
      <c r="ET121" s="1708"/>
      <c r="EU121" s="1708"/>
      <c r="EV121" s="1708"/>
      <c r="EW121" s="1708"/>
      <c r="EX121" s="1708"/>
      <c r="EY121" s="1708"/>
      <c r="EZ121" s="1708"/>
      <c r="FA121" s="1708"/>
      <c r="FB121" s="1708"/>
      <c r="FC121" s="1708"/>
      <c r="FD121" s="1708"/>
      <c r="FE121" s="1708"/>
      <c r="FF121" s="1708"/>
      <c r="FG121" s="1708"/>
      <c r="FH121" s="1708"/>
      <c r="FI121" s="1708"/>
      <c r="FJ121" s="1708"/>
      <c r="FK121" s="1708"/>
      <c r="FL121" s="1708"/>
      <c r="FM121" s="1708"/>
      <c r="FN121" s="1708"/>
      <c r="FO121" s="1708"/>
      <c r="FP121" s="1708"/>
      <c r="FQ121" s="1708"/>
      <c r="FR121" s="1708"/>
      <c r="FS121" s="1708"/>
      <c r="FT121" s="1708"/>
      <c r="FU121" s="1708"/>
      <c r="FV121" s="1708"/>
      <c r="FW121" s="1708"/>
      <c r="FX121" s="1708"/>
      <c r="FY121" s="1708"/>
      <c r="FZ121" s="1708"/>
      <c r="GA121" s="1708"/>
      <c r="GB121" s="1708"/>
      <c r="GC121" s="1708"/>
      <c r="GD121" s="1708"/>
      <c r="GE121" s="1708"/>
      <c r="GF121" s="1708"/>
      <c r="GG121" s="1708"/>
      <c r="GH121" s="1708"/>
      <c r="GI121" s="1708"/>
      <c r="GJ121" s="1708"/>
      <c r="GK121" s="1708"/>
      <c r="GL121" s="1708"/>
      <c r="GM121" s="1708"/>
      <c r="GN121" s="1708"/>
      <c r="GO121" s="1708"/>
      <c r="GP121" s="1708"/>
      <c r="GQ121" s="1708"/>
      <c r="GR121" s="1708"/>
      <c r="GS121" s="1708"/>
      <c r="GT121" s="1708"/>
      <c r="GU121" s="1708"/>
      <c r="GV121" s="1708"/>
      <c r="GW121" s="1708"/>
      <c r="GX121" s="1708"/>
      <c r="GY121" s="1708"/>
      <c r="GZ121" s="1708"/>
      <c r="HA121" s="1708"/>
      <c r="HB121" s="1708"/>
      <c r="HC121" s="1708"/>
      <c r="HD121" s="1708"/>
      <c r="HE121" s="1708"/>
      <c r="HF121" s="1708"/>
      <c r="HG121" s="1708"/>
      <c r="HH121" s="1708"/>
      <c r="HI121" s="1708"/>
      <c r="HJ121" s="1708"/>
      <c r="HK121" s="1708"/>
      <c r="HL121" s="1708"/>
      <c r="HM121" s="1708"/>
      <c r="HN121" s="1708"/>
      <c r="HO121" s="1708"/>
      <c r="HP121" s="1708"/>
      <c r="HQ121" s="1708"/>
      <c r="HR121" s="1708"/>
      <c r="HS121" s="1708"/>
      <c r="HT121" s="1708"/>
      <c r="HU121" s="1708"/>
      <c r="HV121" s="1708"/>
      <c r="HW121" s="1708"/>
      <c r="HX121" s="1708"/>
      <c r="HY121" s="1708"/>
      <c r="HZ121" s="1708"/>
      <c r="IA121" s="1708"/>
      <c r="IB121" s="1708"/>
      <c r="IC121" s="1708"/>
      <c r="ID121" s="1708"/>
      <c r="IE121" s="1708"/>
      <c r="IF121" s="1708"/>
      <c r="IG121" s="1708"/>
      <c r="IH121" s="1708"/>
      <c r="II121" s="1708"/>
      <c r="IJ121" s="1708"/>
      <c r="IK121" s="1708"/>
      <c r="IL121" s="1708"/>
      <c r="IM121" s="1708"/>
      <c r="IN121" s="1708"/>
      <c r="IO121" s="1708"/>
      <c r="IP121" s="1708"/>
      <c r="IQ121" s="1708"/>
      <c r="IR121" s="1708"/>
      <c r="IS121" s="1708"/>
      <c r="IT121" s="1708"/>
      <c r="IU121" s="1708"/>
      <c r="IV121" s="1708"/>
    </row>
    <row r="122" spans="1:256" s="78" customFormat="1" x14ac:dyDescent="0.25">
      <c r="B122" s="1851"/>
      <c r="C122" s="2510"/>
      <c r="D122" s="2511"/>
      <c r="E122" s="2511"/>
      <c r="F122" s="2511"/>
      <c r="G122" s="2511"/>
      <c r="H122" s="2511"/>
      <c r="I122" s="2511"/>
      <c r="J122" s="2512"/>
      <c r="K122" s="1852"/>
      <c r="N122" s="57"/>
      <c r="O122" s="57"/>
      <c r="P122" s="57"/>
      <c r="Q122" s="57"/>
      <c r="R122" s="57"/>
      <c r="S122" s="1708"/>
      <c r="T122" s="1708"/>
      <c r="U122" s="1708"/>
      <c r="V122" s="1708"/>
      <c r="W122" s="1708"/>
      <c r="X122" s="1708"/>
      <c r="Y122" s="1708"/>
      <c r="Z122" s="1708"/>
      <c r="AA122" s="1708"/>
      <c r="AB122" s="1708"/>
      <c r="AC122" s="1708"/>
      <c r="AD122" s="1708"/>
      <c r="AE122" s="1708"/>
      <c r="AF122" s="1708"/>
      <c r="AG122" s="1708"/>
      <c r="AH122" s="1708"/>
      <c r="AI122" s="1708"/>
      <c r="AJ122" s="1708"/>
      <c r="AK122" s="1708"/>
      <c r="AL122" s="1708"/>
      <c r="AM122" s="1708"/>
      <c r="AN122" s="1708"/>
      <c r="AO122" s="1708"/>
      <c r="AP122" s="1708"/>
      <c r="AQ122" s="1708"/>
      <c r="AR122" s="1708"/>
      <c r="AS122" s="1708"/>
      <c r="AT122" s="1708"/>
      <c r="AU122" s="1708"/>
      <c r="AV122" s="1708"/>
      <c r="AW122" s="1708"/>
      <c r="AX122" s="1708"/>
      <c r="AY122" s="1708"/>
      <c r="AZ122" s="1708"/>
      <c r="BA122" s="1708"/>
      <c r="BB122" s="1708"/>
      <c r="BC122" s="1708"/>
      <c r="BD122" s="1708"/>
      <c r="BE122" s="1708"/>
      <c r="BF122" s="1708"/>
      <c r="BG122" s="1708"/>
      <c r="BH122" s="1708"/>
      <c r="BI122" s="1708"/>
      <c r="BJ122" s="1708"/>
      <c r="BK122" s="1708"/>
      <c r="BL122" s="1708"/>
      <c r="BM122" s="1708"/>
      <c r="BN122" s="1708"/>
      <c r="BO122" s="1708"/>
      <c r="BP122" s="1708"/>
      <c r="BQ122" s="1708"/>
      <c r="BR122" s="1708"/>
      <c r="BS122" s="1708"/>
      <c r="BT122" s="1708"/>
      <c r="BU122" s="1708"/>
      <c r="BV122" s="1708"/>
      <c r="BW122" s="1708"/>
      <c r="BX122" s="1708"/>
      <c r="BY122" s="1708"/>
      <c r="BZ122" s="1708"/>
      <c r="CA122" s="1708"/>
      <c r="CB122" s="1708"/>
      <c r="CC122" s="1708"/>
      <c r="CD122" s="1708"/>
      <c r="CE122" s="1708"/>
      <c r="CF122" s="1708"/>
      <c r="CG122" s="1708"/>
      <c r="CH122" s="1708"/>
      <c r="CI122" s="1708"/>
      <c r="CJ122" s="1708"/>
      <c r="CK122" s="1708"/>
      <c r="CL122" s="1708"/>
      <c r="CM122" s="1708"/>
      <c r="CN122" s="1708"/>
      <c r="CO122" s="1708"/>
      <c r="CP122" s="1708"/>
      <c r="CQ122" s="1708"/>
      <c r="CR122" s="1708"/>
      <c r="CS122" s="1708"/>
      <c r="CT122" s="1708"/>
      <c r="CU122" s="1708"/>
      <c r="CV122" s="1708"/>
      <c r="CW122" s="1708"/>
      <c r="CX122" s="1708"/>
      <c r="CY122" s="1708"/>
      <c r="CZ122" s="1708"/>
      <c r="DA122" s="1708"/>
      <c r="DB122" s="1708"/>
      <c r="DC122" s="1708"/>
      <c r="DD122" s="1708"/>
      <c r="DE122" s="1708"/>
      <c r="DF122" s="1708"/>
      <c r="DG122" s="1708"/>
      <c r="DH122" s="1708"/>
      <c r="DI122" s="1708"/>
      <c r="DJ122" s="1708"/>
      <c r="DK122" s="1708"/>
      <c r="DL122" s="1708"/>
      <c r="DM122" s="1708"/>
      <c r="DN122" s="1708"/>
      <c r="DO122" s="1708"/>
      <c r="DP122" s="1708"/>
      <c r="DQ122" s="1708"/>
      <c r="DR122" s="1708"/>
      <c r="DS122" s="1708"/>
      <c r="DT122" s="1708"/>
      <c r="DU122" s="1708"/>
      <c r="DV122" s="1708"/>
      <c r="DW122" s="1708"/>
      <c r="DX122" s="1708"/>
      <c r="DY122" s="1708"/>
      <c r="DZ122" s="1708"/>
      <c r="EA122" s="1708"/>
      <c r="EB122" s="1708"/>
      <c r="EC122" s="1708"/>
      <c r="ED122" s="1708"/>
      <c r="EE122" s="1708"/>
      <c r="EF122" s="1708"/>
      <c r="EG122" s="1708"/>
      <c r="EH122" s="1708"/>
      <c r="EI122" s="1708"/>
      <c r="EJ122" s="1708"/>
      <c r="EK122" s="1708"/>
      <c r="EL122" s="1708"/>
      <c r="EM122" s="1708"/>
      <c r="EN122" s="1708"/>
      <c r="EO122" s="1708"/>
      <c r="EP122" s="1708"/>
      <c r="EQ122" s="1708"/>
      <c r="ER122" s="1708"/>
      <c r="ES122" s="1708"/>
      <c r="ET122" s="1708"/>
      <c r="EU122" s="1708"/>
      <c r="EV122" s="1708"/>
      <c r="EW122" s="1708"/>
      <c r="EX122" s="1708"/>
      <c r="EY122" s="1708"/>
      <c r="EZ122" s="1708"/>
      <c r="FA122" s="1708"/>
      <c r="FB122" s="1708"/>
      <c r="FC122" s="1708"/>
      <c r="FD122" s="1708"/>
      <c r="FE122" s="1708"/>
      <c r="FF122" s="1708"/>
      <c r="FG122" s="1708"/>
      <c r="FH122" s="1708"/>
      <c r="FI122" s="1708"/>
      <c r="FJ122" s="1708"/>
      <c r="FK122" s="1708"/>
      <c r="FL122" s="1708"/>
      <c r="FM122" s="1708"/>
      <c r="FN122" s="1708"/>
      <c r="FO122" s="1708"/>
      <c r="FP122" s="1708"/>
      <c r="FQ122" s="1708"/>
      <c r="FR122" s="1708"/>
      <c r="FS122" s="1708"/>
      <c r="FT122" s="1708"/>
      <c r="FU122" s="1708"/>
      <c r="FV122" s="1708"/>
      <c r="FW122" s="1708"/>
      <c r="FX122" s="1708"/>
      <c r="FY122" s="1708"/>
      <c r="FZ122" s="1708"/>
      <c r="GA122" s="1708"/>
      <c r="GB122" s="1708"/>
      <c r="GC122" s="1708"/>
      <c r="GD122" s="1708"/>
      <c r="GE122" s="1708"/>
      <c r="GF122" s="1708"/>
      <c r="GG122" s="1708"/>
      <c r="GH122" s="1708"/>
      <c r="GI122" s="1708"/>
      <c r="GJ122" s="1708"/>
      <c r="GK122" s="1708"/>
      <c r="GL122" s="1708"/>
      <c r="GM122" s="1708"/>
      <c r="GN122" s="1708"/>
      <c r="GO122" s="1708"/>
      <c r="GP122" s="1708"/>
      <c r="GQ122" s="1708"/>
      <c r="GR122" s="1708"/>
      <c r="GS122" s="1708"/>
      <c r="GT122" s="1708"/>
      <c r="GU122" s="1708"/>
      <c r="GV122" s="1708"/>
      <c r="GW122" s="1708"/>
      <c r="GX122" s="1708"/>
      <c r="GY122" s="1708"/>
      <c r="GZ122" s="1708"/>
      <c r="HA122" s="1708"/>
      <c r="HB122" s="1708"/>
      <c r="HC122" s="1708"/>
      <c r="HD122" s="1708"/>
      <c r="HE122" s="1708"/>
      <c r="HF122" s="1708"/>
      <c r="HG122" s="1708"/>
      <c r="HH122" s="1708"/>
      <c r="HI122" s="1708"/>
      <c r="HJ122" s="1708"/>
      <c r="HK122" s="1708"/>
      <c r="HL122" s="1708"/>
      <c r="HM122" s="1708"/>
      <c r="HN122" s="1708"/>
      <c r="HO122" s="1708"/>
      <c r="HP122" s="1708"/>
      <c r="HQ122" s="1708"/>
      <c r="HR122" s="1708"/>
      <c r="HS122" s="1708"/>
      <c r="HT122" s="1708"/>
      <c r="HU122" s="1708"/>
      <c r="HV122" s="1708"/>
      <c r="HW122" s="1708"/>
      <c r="HX122" s="1708"/>
      <c r="HY122" s="1708"/>
      <c r="HZ122" s="1708"/>
      <c r="IA122" s="1708"/>
      <c r="IB122" s="1708"/>
      <c r="IC122" s="1708"/>
      <c r="ID122" s="1708"/>
      <c r="IE122" s="1708"/>
      <c r="IF122" s="1708"/>
      <c r="IG122" s="1708"/>
      <c r="IH122" s="1708"/>
      <c r="II122" s="1708"/>
      <c r="IJ122" s="1708"/>
      <c r="IK122" s="1708"/>
      <c r="IL122" s="1708"/>
      <c r="IM122" s="1708"/>
      <c r="IN122" s="1708"/>
      <c r="IO122" s="1708"/>
      <c r="IP122" s="1708"/>
      <c r="IQ122" s="1708"/>
      <c r="IR122" s="1708"/>
      <c r="IS122" s="1708"/>
      <c r="IT122" s="1708"/>
      <c r="IU122" s="1708"/>
      <c r="IV122" s="1708"/>
    </row>
    <row r="123" spans="1:256" s="78" customFormat="1" x14ac:dyDescent="0.25">
      <c r="B123" s="1851"/>
      <c r="C123" s="2510"/>
      <c r="D123" s="2511"/>
      <c r="E123" s="2511"/>
      <c r="F123" s="2511"/>
      <c r="G123" s="2511"/>
      <c r="H123" s="2511"/>
      <c r="I123" s="2511"/>
      <c r="J123" s="2512"/>
      <c r="K123" s="1852"/>
      <c r="N123" s="57"/>
      <c r="O123" s="57"/>
      <c r="P123" s="57"/>
      <c r="Q123" s="57"/>
      <c r="R123" s="57"/>
      <c r="S123" s="1708"/>
      <c r="T123" s="1708"/>
      <c r="U123" s="1708"/>
      <c r="V123" s="1708"/>
      <c r="W123" s="1708"/>
      <c r="X123" s="1708"/>
      <c r="Y123" s="1708"/>
      <c r="Z123" s="1708"/>
      <c r="AA123" s="1708"/>
      <c r="AB123" s="1708"/>
      <c r="AC123" s="1708"/>
      <c r="AD123" s="1708"/>
      <c r="AE123" s="1708"/>
      <c r="AF123" s="1708"/>
      <c r="AG123" s="1708"/>
      <c r="AH123" s="1708"/>
      <c r="AI123" s="1708"/>
      <c r="AJ123" s="1708"/>
      <c r="AK123" s="1708"/>
      <c r="AL123" s="1708"/>
      <c r="AM123" s="1708"/>
      <c r="AN123" s="1708"/>
      <c r="AO123" s="1708"/>
      <c r="AP123" s="1708"/>
      <c r="AQ123" s="1708"/>
      <c r="AR123" s="1708"/>
      <c r="AS123" s="1708"/>
      <c r="AT123" s="1708"/>
      <c r="AU123" s="1708"/>
      <c r="AV123" s="1708"/>
      <c r="AW123" s="1708"/>
      <c r="AX123" s="1708"/>
      <c r="AY123" s="1708"/>
      <c r="AZ123" s="1708"/>
      <c r="BA123" s="1708"/>
      <c r="BB123" s="1708"/>
      <c r="BC123" s="1708"/>
      <c r="BD123" s="1708"/>
      <c r="BE123" s="1708"/>
      <c r="BF123" s="1708"/>
      <c r="BG123" s="1708"/>
      <c r="BH123" s="1708"/>
      <c r="BI123" s="1708"/>
      <c r="BJ123" s="1708"/>
      <c r="BK123" s="1708"/>
      <c r="BL123" s="1708"/>
      <c r="BM123" s="1708"/>
      <c r="BN123" s="1708"/>
      <c r="BO123" s="1708"/>
      <c r="BP123" s="1708"/>
      <c r="BQ123" s="1708"/>
      <c r="BR123" s="1708"/>
      <c r="BS123" s="1708"/>
      <c r="BT123" s="1708"/>
      <c r="BU123" s="1708"/>
      <c r="BV123" s="1708"/>
      <c r="BW123" s="1708"/>
      <c r="BX123" s="1708"/>
      <c r="BY123" s="1708"/>
      <c r="BZ123" s="1708"/>
      <c r="CA123" s="1708"/>
      <c r="CB123" s="1708"/>
      <c r="CC123" s="1708"/>
      <c r="CD123" s="1708"/>
      <c r="CE123" s="1708"/>
      <c r="CF123" s="1708"/>
      <c r="CG123" s="1708"/>
      <c r="CH123" s="1708"/>
      <c r="CI123" s="1708"/>
      <c r="CJ123" s="1708"/>
      <c r="CK123" s="1708"/>
      <c r="CL123" s="1708"/>
      <c r="CM123" s="1708"/>
      <c r="CN123" s="1708"/>
      <c r="CO123" s="1708"/>
      <c r="CP123" s="1708"/>
      <c r="CQ123" s="1708"/>
      <c r="CR123" s="1708"/>
      <c r="CS123" s="1708"/>
      <c r="CT123" s="1708"/>
      <c r="CU123" s="1708"/>
      <c r="CV123" s="1708"/>
      <c r="CW123" s="1708"/>
      <c r="CX123" s="1708"/>
      <c r="CY123" s="1708"/>
      <c r="CZ123" s="1708"/>
      <c r="DA123" s="1708"/>
      <c r="DB123" s="1708"/>
      <c r="DC123" s="1708"/>
      <c r="DD123" s="1708"/>
      <c r="DE123" s="1708"/>
      <c r="DF123" s="1708"/>
      <c r="DG123" s="1708"/>
      <c r="DH123" s="1708"/>
      <c r="DI123" s="1708"/>
      <c r="DJ123" s="1708"/>
      <c r="DK123" s="1708"/>
      <c r="DL123" s="1708"/>
      <c r="DM123" s="1708"/>
      <c r="DN123" s="1708"/>
      <c r="DO123" s="1708"/>
      <c r="DP123" s="1708"/>
      <c r="DQ123" s="1708"/>
      <c r="DR123" s="1708"/>
      <c r="DS123" s="1708"/>
      <c r="DT123" s="1708"/>
      <c r="DU123" s="1708"/>
      <c r="DV123" s="1708"/>
      <c r="DW123" s="1708"/>
      <c r="DX123" s="1708"/>
      <c r="DY123" s="1708"/>
      <c r="DZ123" s="1708"/>
      <c r="EA123" s="1708"/>
      <c r="EB123" s="1708"/>
      <c r="EC123" s="1708"/>
      <c r="ED123" s="1708"/>
      <c r="EE123" s="1708"/>
      <c r="EF123" s="1708"/>
      <c r="EG123" s="1708"/>
      <c r="EH123" s="1708"/>
      <c r="EI123" s="1708"/>
      <c r="EJ123" s="1708"/>
      <c r="EK123" s="1708"/>
      <c r="EL123" s="1708"/>
      <c r="EM123" s="1708"/>
      <c r="EN123" s="1708"/>
      <c r="EO123" s="1708"/>
      <c r="EP123" s="1708"/>
      <c r="EQ123" s="1708"/>
      <c r="ER123" s="1708"/>
      <c r="ES123" s="1708"/>
      <c r="ET123" s="1708"/>
      <c r="EU123" s="1708"/>
      <c r="EV123" s="1708"/>
      <c r="EW123" s="1708"/>
      <c r="EX123" s="1708"/>
      <c r="EY123" s="1708"/>
      <c r="EZ123" s="1708"/>
      <c r="FA123" s="1708"/>
      <c r="FB123" s="1708"/>
      <c r="FC123" s="1708"/>
      <c r="FD123" s="1708"/>
      <c r="FE123" s="1708"/>
      <c r="FF123" s="1708"/>
      <c r="FG123" s="1708"/>
      <c r="FH123" s="1708"/>
      <c r="FI123" s="1708"/>
      <c r="FJ123" s="1708"/>
      <c r="FK123" s="1708"/>
      <c r="FL123" s="1708"/>
      <c r="FM123" s="1708"/>
      <c r="FN123" s="1708"/>
      <c r="FO123" s="1708"/>
      <c r="FP123" s="1708"/>
      <c r="FQ123" s="1708"/>
      <c r="FR123" s="1708"/>
      <c r="FS123" s="1708"/>
      <c r="FT123" s="1708"/>
      <c r="FU123" s="1708"/>
      <c r="FV123" s="1708"/>
      <c r="FW123" s="1708"/>
      <c r="FX123" s="1708"/>
      <c r="FY123" s="1708"/>
      <c r="FZ123" s="1708"/>
      <c r="GA123" s="1708"/>
      <c r="GB123" s="1708"/>
      <c r="GC123" s="1708"/>
      <c r="GD123" s="1708"/>
      <c r="GE123" s="1708"/>
      <c r="GF123" s="1708"/>
      <c r="GG123" s="1708"/>
      <c r="GH123" s="1708"/>
      <c r="GI123" s="1708"/>
      <c r="GJ123" s="1708"/>
      <c r="GK123" s="1708"/>
      <c r="GL123" s="1708"/>
      <c r="GM123" s="1708"/>
      <c r="GN123" s="1708"/>
      <c r="GO123" s="1708"/>
      <c r="GP123" s="1708"/>
      <c r="GQ123" s="1708"/>
      <c r="GR123" s="1708"/>
      <c r="GS123" s="1708"/>
      <c r="GT123" s="1708"/>
      <c r="GU123" s="1708"/>
      <c r="GV123" s="1708"/>
      <c r="GW123" s="1708"/>
      <c r="GX123" s="1708"/>
      <c r="GY123" s="1708"/>
      <c r="GZ123" s="1708"/>
      <c r="HA123" s="1708"/>
      <c r="HB123" s="1708"/>
      <c r="HC123" s="1708"/>
      <c r="HD123" s="1708"/>
      <c r="HE123" s="1708"/>
      <c r="HF123" s="1708"/>
      <c r="HG123" s="1708"/>
      <c r="HH123" s="1708"/>
      <c r="HI123" s="1708"/>
      <c r="HJ123" s="1708"/>
      <c r="HK123" s="1708"/>
      <c r="HL123" s="1708"/>
      <c r="HM123" s="1708"/>
      <c r="HN123" s="1708"/>
      <c r="HO123" s="1708"/>
      <c r="HP123" s="1708"/>
      <c r="HQ123" s="1708"/>
      <c r="HR123" s="1708"/>
      <c r="HS123" s="1708"/>
      <c r="HT123" s="1708"/>
      <c r="HU123" s="1708"/>
      <c r="HV123" s="1708"/>
      <c r="HW123" s="1708"/>
      <c r="HX123" s="1708"/>
      <c r="HY123" s="1708"/>
      <c r="HZ123" s="1708"/>
      <c r="IA123" s="1708"/>
      <c r="IB123" s="1708"/>
      <c r="IC123" s="1708"/>
      <c r="ID123" s="1708"/>
      <c r="IE123" s="1708"/>
      <c r="IF123" s="1708"/>
      <c r="IG123" s="1708"/>
      <c r="IH123" s="1708"/>
      <c r="II123" s="1708"/>
      <c r="IJ123" s="1708"/>
      <c r="IK123" s="1708"/>
      <c r="IL123" s="1708"/>
      <c r="IM123" s="1708"/>
      <c r="IN123" s="1708"/>
      <c r="IO123" s="1708"/>
      <c r="IP123" s="1708"/>
      <c r="IQ123" s="1708"/>
      <c r="IR123" s="1708"/>
      <c r="IS123" s="1708"/>
      <c r="IT123" s="1708"/>
      <c r="IU123" s="1708"/>
      <c r="IV123" s="1708"/>
    </row>
    <row r="124" spans="1:256" s="78" customFormat="1" x14ac:dyDescent="0.25">
      <c r="B124" s="1851"/>
      <c r="C124" s="2510"/>
      <c r="D124" s="2511"/>
      <c r="E124" s="2511"/>
      <c r="F124" s="2511"/>
      <c r="G124" s="2511"/>
      <c r="H124" s="2511"/>
      <c r="I124" s="2511"/>
      <c r="J124" s="2512"/>
      <c r="K124" s="1852"/>
      <c r="N124" s="57"/>
      <c r="O124" s="57"/>
      <c r="P124" s="57"/>
      <c r="Q124" s="57"/>
      <c r="R124" s="57"/>
      <c r="S124" s="1708"/>
      <c r="T124" s="1708"/>
      <c r="U124" s="1708"/>
      <c r="V124" s="1708"/>
      <c r="W124" s="1708"/>
      <c r="X124" s="1708"/>
      <c r="Y124" s="1708"/>
      <c r="Z124" s="1708"/>
      <c r="AA124" s="1708"/>
      <c r="AB124" s="1708"/>
      <c r="AC124" s="1708"/>
      <c r="AD124" s="1708"/>
      <c r="AE124" s="1708"/>
      <c r="AF124" s="1708"/>
      <c r="AG124" s="1708"/>
      <c r="AH124" s="1708"/>
      <c r="AI124" s="1708"/>
      <c r="AJ124" s="1708"/>
      <c r="AK124" s="1708"/>
      <c r="AL124" s="1708"/>
      <c r="AM124" s="1708"/>
      <c r="AN124" s="1708"/>
      <c r="AO124" s="1708"/>
      <c r="AP124" s="1708"/>
      <c r="AQ124" s="1708"/>
      <c r="AR124" s="1708"/>
      <c r="AS124" s="1708"/>
      <c r="AT124" s="1708"/>
      <c r="AU124" s="1708"/>
      <c r="AV124" s="1708"/>
      <c r="AW124" s="1708"/>
      <c r="AX124" s="1708"/>
      <c r="AY124" s="1708"/>
      <c r="AZ124" s="1708"/>
      <c r="BA124" s="1708"/>
      <c r="BB124" s="1708"/>
      <c r="BC124" s="1708"/>
      <c r="BD124" s="1708"/>
      <c r="BE124" s="1708"/>
      <c r="BF124" s="1708"/>
      <c r="BG124" s="1708"/>
      <c r="BH124" s="1708"/>
      <c r="BI124" s="1708"/>
      <c r="BJ124" s="1708"/>
      <c r="BK124" s="1708"/>
      <c r="BL124" s="1708"/>
      <c r="BM124" s="1708"/>
      <c r="BN124" s="1708"/>
      <c r="BO124" s="1708"/>
      <c r="BP124" s="1708"/>
      <c r="BQ124" s="1708"/>
      <c r="BR124" s="1708"/>
      <c r="BS124" s="1708"/>
      <c r="BT124" s="1708"/>
      <c r="BU124" s="1708"/>
      <c r="BV124" s="1708"/>
      <c r="BW124" s="1708"/>
      <c r="BX124" s="1708"/>
      <c r="BY124" s="1708"/>
      <c r="BZ124" s="1708"/>
      <c r="CA124" s="1708"/>
      <c r="CB124" s="1708"/>
      <c r="CC124" s="1708"/>
      <c r="CD124" s="1708"/>
      <c r="CE124" s="1708"/>
      <c r="CF124" s="1708"/>
      <c r="CG124" s="1708"/>
      <c r="CH124" s="1708"/>
      <c r="CI124" s="1708"/>
      <c r="CJ124" s="1708"/>
      <c r="CK124" s="1708"/>
      <c r="CL124" s="1708"/>
      <c r="CM124" s="1708"/>
      <c r="CN124" s="1708"/>
      <c r="CO124" s="1708"/>
      <c r="CP124" s="1708"/>
      <c r="CQ124" s="1708"/>
      <c r="CR124" s="1708"/>
      <c r="CS124" s="1708"/>
      <c r="CT124" s="1708"/>
      <c r="CU124" s="1708"/>
      <c r="CV124" s="1708"/>
      <c r="CW124" s="1708"/>
      <c r="CX124" s="1708"/>
      <c r="CY124" s="1708"/>
      <c r="CZ124" s="1708"/>
      <c r="DA124" s="1708"/>
      <c r="DB124" s="1708"/>
      <c r="DC124" s="1708"/>
      <c r="DD124" s="1708"/>
      <c r="DE124" s="1708"/>
      <c r="DF124" s="1708"/>
      <c r="DG124" s="1708"/>
      <c r="DH124" s="1708"/>
      <c r="DI124" s="1708"/>
      <c r="DJ124" s="1708"/>
      <c r="DK124" s="1708"/>
      <c r="DL124" s="1708"/>
      <c r="DM124" s="1708"/>
      <c r="DN124" s="1708"/>
      <c r="DO124" s="1708"/>
      <c r="DP124" s="1708"/>
      <c r="DQ124" s="1708"/>
      <c r="DR124" s="1708"/>
      <c r="DS124" s="1708"/>
      <c r="DT124" s="1708"/>
      <c r="DU124" s="1708"/>
      <c r="DV124" s="1708"/>
      <c r="DW124" s="1708"/>
      <c r="DX124" s="1708"/>
      <c r="DY124" s="1708"/>
      <c r="DZ124" s="1708"/>
      <c r="EA124" s="1708"/>
      <c r="EB124" s="1708"/>
      <c r="EC124" s="1708"/>
      <c r="ED124" s="1708"/>
      <c r="EE124" s="1708"/>
      <c r="EF124" s="1708"/>
      <c r="EG124" s="1708"/>
      <c r="EH124" s="1708"/>
      <c r="EI124" s="1708"/>
      <c r="EJ124" s="1708"/>
      <c r="EK124" s="1708"/>
      <c r="EL124" s="1708"/>
      <c r="EM124" s="1708"/>
      <c r="EN124" s="1708"/>
      <c r="EO124" s="1708"/>
      <c r="EP124" s="1708"/>
      <c r="EQ124" s="1708"/>
      <c r="ER124" s="1708"/>
      <c r="ES124" s="1708"/>
      <c r="ET124" s="1708"/>
      <c r="EU124" s="1708"/>
      <c r="EV124" s="1708"/>
      <c r="EW124" s="1708"/>
      <c r="EX124" s="1708"/>
      <c r="EY124" s="1708"/>
      <c r="EZ124" s="1708"/>
      <c r="FA124" s="1708"/>
      <c r="FB124" s="1708"/>
      <c r="FC124" s="1708"/>
      <c r="FD124" s="1708"/>
      <c r="FE124" s="1708"/>
      <c r="FF124" s="1708"/>
      <c r="FG124" s="1708"/>
      <c r="FH124" s="1708"/>
      <c r="FI124" s="1708"/>
      <c r="FJ124" s="1708"/>
      <c r="FK124" s="1708"/>
      <c r="FL124" s="1708"/>
      <c r="FM124" s="1708"/>
      <c r="FN124" s="1708"/>
      <c r="FO124" s="1708"/>
      <c r="FP124" s="1708"/>
      <c r="FQ124" s="1708"/>
      <c r="FR124" s="1708"/>
      <c r="FS124" s="1708"/>
      <c r="FT124" s="1708"/>
      <c r="FU124" s="1708"/>
      <c r="FV124" s="1708"/>
      <c r="FW124" s="1708"/>
      <c r="FX124" s="1708"/>
      <c r="FY124" s="1708"/>
      <c r="FZ124" s="1708"/>
      <c r="GA124" s="1708"/>
      <c r="GB124" s="1708"/>
      <c r="GC124" s="1708"/>
      <c r="GD124" s="1708"/>
      <c r="GE124" s="1708"/>
      <c r="GF124" s="1708"/>
      <c r="GG124" s="1708"/>
      <c r="GH124" s="1708"/>
      <c r="GI124" s="1708"/>
      <c r="GJ124" s="1708"/>
      <c r="GK124" s="1708"/>
      <c r="GL124" s="1708"/>
      <c r="GM124" s="1708"/>
      <c r="GN124" s="1708"/>
      <c r="GO124" s="1708"/>
      <c r="GP124" s="1708"/>
      <c r="GQ124" s="1708"/>
      <c r="GR124" s="1708"/>
      <c r="GS124" s="1708"/>
      <c r="GT124" s="1708"/>
      <c r="GU124" s="1708"/>
      <c r="GV124" s="1708"/>
      <c r="GW124" s="1708"/>
      <c r="GX124" s="1708"/>
      <c r="GY124" s="1708"/>
      <c r="GZ124" s="1708"/>
      <c r="HA124" s="1708"/>
      <c r="HB124" s="1708"/>
      <c r="HC124" s="1708"/>
      <c r="HD124" s="1708"/>
      <c r="HE124" s="1708"/>
      <c r="HF124" s="1708"/>
      <c r="HG124" s="1708"/>
      <c r="HH124" s="1708"/>
      <c r="HI124" s="1708"/>
      <c r="HJ124" s="1708"/>
      <c r="HK124" s="1708"/>
      <c r="HL124" s="1708"/>
      <c r="HM124" s="1708"/>
      <c r="HN124" s="1708"/>
      <c r="HO124" s="1708"/>
      <c r="HP124" s="1708"/>
      <c r="HQ124" s="1708"/>
      <c r="HR124" s="1708"/>
      <c r="HS124" s="1708"/>
      <c r="HT124" s="1708"/>
      <c r="HU124" s="1708"/>
      <c r="HV124" s="1708"/>
      <c r="HW124" s="1708"/>
      <c r="HX124" s="1708"/>
      <c r="HY124" s="1708"/>
      <c r="HZ124" s="1708"/>
      <c r="IA124" s="1708"/>
      <c r="IB124" s="1708"/>
      <c r="IC124" s="1708"/>
      <c r="ID124" s="1708"/>
      <c r="IE124" s="1708"/>
      <c r="IF124" s="1708"/>
      <c r="IG124" s="1708"/>
      <c r="IH124" s="1708"/>
      <c r="II124" s="1708"/>
      <c r="IJ124" s="1708"/>
      <c r="IK124" s="1708"/>
      <c r="IL124" s="1708"/>
      <c r="IM124" s="1708"/>
      <c r="IN124" s="1708"/>
      <c r="IO124" s="1708"/>
      <c r="IP124" s="1708"/>
      <c r="IQ124" s="1708"/>
      <c r="IR124" s="1708"/>
      <c r="IS124" s="1708"/>
      <c r="IT124" s="1708"/>
      <c r="IU124" s="1708"/>
      <c r="IV124" s="1708"/>
    </row>
    <row r="125" spans="1:256" s="78" customFormat="1" x14ac:dyDescent="0.25">
      <c r="B125" s="1851"/>
      <c r="C125" s="2510"/>
      <c r="D125" s="2511"/>
      <c r="E125" s="2511"/>
      <c r="F125" s="2511"/>
      <c r="G125" s="2511"/>
      <c r="H125" s="2511"/>
      <c r="I125" s="2511"/>
      <c r="J125" s="2512"/>
      <c r="K125" s="1852"/>
      <c r="N125" s="57"/>
      <c r="O125" s="57"/>
      <c r="P125" s="57"/>
      <c r="Q125" s="57"/>
      <c r="R125" s="57"/>
      <c r="S125" s="1708"/>
      <c r="T125" s="1708"/>
      <c r="U125" s="1708"/>
      <c r="V125" s="1708"/>
      <c r="W125" s="1708"/>
      <c r="X125" s="1708"/>
      <c r="Y125" s="1708"/>
      <c r="Z125" s="1708"/>
      <c r="AA125" s="1708"/>
      <c r="AB125" s="1708"/>
      <c r="AC125" s="1708"/>
      <c r="AD125" s="1708"/>
      <c r="AE125" s="1708"/>
      <c r="AF125" s="1708"/>
      <c r="AG125" s="1708"/>
      <c r="AH125" s="1708"/>
      <c r="AI125" s="1708"/>
      <c r="AJ125" s="1708"/>
      <c r="AK125" s="1708"/>
      <c r="AL125" s="1708"/>
      <c r="AM125" s="1708"/>
      <c r="AN125" s="1708"/>
      <c r="AO125" s="1708"/>
      <c r="AP125" s="1708"/>
      <c r="AQ125" s="1708"/>
      <c r="AR125" s="1708"/>
      <c r="AS125" s="1708"/>
      <c r="AT125" s="1708"/>
      <c r="AU125" s="1708"/>
      <c r="AV125" s="1708"/>
      <c r="AW125" s="1708"/>
      <c r="AX125" s="1708"/>
      <c r="AY125" s="1708"/>
      <c r="AZ125" s="1708"/>
      <c r="BA125" s="1708"/>
      <c r="BB125" s="1708"/>
      <c r="BC125" s="1708"/>
      <c r="BD125" s="1708"/>
      <c r="BE125" s="1708"/>
      <c r="BF125" s="1708"/>
      <c r="BG125" s="1708"/>
      <c r="BH125" s="1708"/>
      <c r="BI125" s="1708"/>
      <c r="BJ125" s="1708"/>
      <c r="BK125" s="1708"/>
      <c r="BL125" s="1708"/>
      <c r="BM125" s="1708"/>
      <c r="BN125" s="1708"/>
      <c r="BO125" s="1708"/>
      <c r="BP125" s="1708"/>
      <c r="BQ125" s="1708"/>
      <c r="BR125" s="1708"/>
      <c r="BS125" s="1708"/>
      <c r="BT125" s="1708"/>
      <c r="BU125" s="1708"/>
      <c r="BV125" s="1708"/>
      <c r="BW125" s="1708"/>
      <c r="BX125" s="1708"/>
      <c r="BY125" s="1708"/>
      <c r="BZ125" s="1708"/>
      <c r="CA125" s="1708"/>
      <c r="CB125" s="1708"/>
      <c r="CC125" s="1708"/>
      <c r="CD125" s="1708"/>
      <c r="CE125" s="1708"/>
      <c r="CF125" s="1708"/>
      <c r="CG125" s="1708"/>
      <c r="CH125" s="1708"/>
      <c r="CI125" s="1708"/>
      <c r="CJ125" s="1708"/>
      <c r="CK125" s="1708"/>
      <c r="CL125" s="1708"/>
      <c r="CM125" s="1708"/>
      <c r="CN125" s="1708"/>
      <c r="CO125" s="1708"/>
      <c r="CP125" s="1708"/>
      <c r="CQ125" s="1708"/>
      <c r="CR125" s="1708"/>
      <c r="CS125" s="1708"/>
      <c r="CT125" s="1708"/>
      <c r="CU125" s="1708"/>
      <c r="CV125" s="1708"/>
      <c r="CW125" s="1708"/>
      <c r="CX125" s="1708"/>
      <c r="CY125" s="1708"/>
      <c r="CZ125" s="1708"/>
      <c r="DA125" s="1708"/>
      <c r="DB125" s="1708"/>
      <c r="DC125" s="1708"/>
      <c r="DD125" s="1708"/>
      <c r="DE125" s="1708"/>
      <c r="DF125" s="1708"/>
      <c r="DG125" s="1708"/>
      <c r="DH125" s="1708"/>
      <c r="DI125" s="1708"/>
      <c r="DJ125" s="1708"/>
      <c r="DK125" s="1708"/>
      <c r="DL125" s="1708"/>
      <c r="DM125" s="1708"/>
      <c r="DN125" s="1708"/>
      <c r="DO125" s="1708"/>
      <c r="DP125" s="1708"/>
      <c r="DQ125" s="1708"/>
      <c r="DR125" s="1708"/>
      <c r="DS125" s="1708"/>
      <c r="DT125" s="1708"/>
      <c r="DU125" s="1708"/>
      <c r="DV125" s="1708"/>
      <c r="DW125" s="1708"/>
      <c r="DX125" s="1708"/>
      <c r="DY125" s="1708"/>
      <c r="DZ125" s="1708"/>
      <c r="EA125" s="1708"/>
      <c r="EB125" s="1708"/>
      <c r="EC125" s="1708"/>
      <c r="ED125" s="1708"/>
      <c r="EE125" s="1708"/>
      <c r="EF125" s="1708"/>
      <c r="EG125" s="1708"/>
      <c r="EH125" s="1708"/>
      <c r="EI125" s="1708"/>
      <c r="EJ125" s="1708"/>
      <c r="EK125" s="1708"/>
      <c r="EL125" s="1708"/>
      <c r="EM125" s="1708"/>
      <c r="EN125" s="1708"/>
      <c r="EO125" s="1708"/>
      <c r="EP125" s="1708"/>
      <c r="EQ125" s="1708"/>
      <c r="ER125" s="1708"/>
      <c r="ES125" s="1708"/>
      <c r="ET125" s="1708"/>
      <c r="EU125" s="1708"/>
      <c r="EV125" s="1708"/>
      <c r="EW125" s="1708"/>
      <c r="EX125" s="1708"/>
      <c r="EY125" s="1708"/>
      <c r="EZ125" s="1708"/>
      <c r="FA125" s="1708"/>
      <c r="FB125" s="1708"/>
      <c r="FC125" s="1708"/>
      <c r="FD125" s="1708"/>
      <c r="FE125" s="1708"/>
      <c r="FF125" s="1708"/>
      <c r="FG125" s="1708"/>
      <c r="FH125" s="1708"/>
      <c r="FI125" s="1708"/>
      <c r="FJ125" s="1708"/>
      <c r="FK125" s="1708"/>
      <c r="FL125" s="1708"/>
      <c r="FM125" s="1708"/>
      <c r="FN125" s="1708"/>
      <c r="FO125" s="1708"/>
      <c r="FP125" s="1708"/>
      <c r="FQ125" s="1708"/>
      <c r="FR125" s="1708"/>
      <c r="FS125" s="1708"/>
      <c r="FT125" s="1708"/>
      <c r="FU125" s="1708"/>
      <c r="FV125" s="1708"/>
      <c r="FW125" s="1708"/>
      <c r="FX125" s="1708"/>
      <c r="FY125" s="1708"/>
      <c r="FZ125" s="1708"/>
      <c r="GA125" s="1708"/>
      <c r="GB125" s="1708"/>
      <c r="GC125" s="1708"/>
      <c r="GD125" s="1708"/>
      <c r="GE125" s="1708"/>
      <c r="GF125" s="1708"/>
      <c r="GG125" s="1708"/>
      <c r="GH125" s="1708"/>
      <c r="GI125" s="1708"/>
      <c r="GJ125" s="1708"/>
      <c r="GK125" s="1708"/>
      <c r="GL125" s="1708"/>
      <c r="GM125" s="1708"/>
      <c r="GN125" s="1708"/>
      <c r="GO125" s="1708"/>
      <c r="GP125" s="1708"/>
      <c r="GQ125" s="1708"/>
      <c r="GR125" s="1708"/>
      <c r="GS125" s="1708"/>
      <c r="GT125" s="1708"/>
      <c r="GU125" s="1708"/>
      <c r="GV125" s="1708"/>
      <c r="GW125" s="1708"/>
      <c r="GX125" s="1708"/>
      <c r="GY125" s="1708"/>
      <c r="GZ125" s="1708"/>
      <c r="HA125" s="1708"/>
      <c r="HB125" s="1708"/>
      <c r="HC125" s="1708"/>
      <c r="HD125" s="1708"/>
      <c r="HE125" s="1708"/>
      <c r="HF125" s="1708"/>
      <c r="HG125" s="1708"/>
      <c r="HH125" s="1708"/>
      <c r="HI125" s="1708"/>
      <c r="HJ125" s="1708"/>
      <c r="HK125" s="1708"/>
      <c r="HL125" s="1708"/>
      <c r="HM125" s="1708"/>
      <c r="HN125" s="1708"/>
      <c r="HO125" s="1708"/>
      <c r="HP125" s="1708"/>
      <c r="HQ125" s="1708"/>
      <c r="HR125" s="1708"/>
      <c r="HS125" s="1708"/>
      <c r="HT125" s="1708"/>
      <c r="HU125" s="1708"/>
      <c r="HV125" s="1708"/>
      <c r="HW125" s="1708"/>
      <c r="HX125" s="1708"/>
      <c r="HY125" s="1708"/>
      <c r="HZ125" s="1708"/>
      <c r="IA125" s="1708"/>
      <c r="IB125" s="1708"/>
      <c r="IC125" s="1708"/>
      <c r="ID125" s="1708"/>
      <c r="IE125" s="1708"/>
      <c r="IF125" s="1708"/>
      <c r="IG125" s="1708"/>
      <c r="IH125" s="1708"/>
      <c r="II125" s="1708"/>
      <c r="IJ125" s="1708"/>
      <c r="IK125" s="1708"/>
      <c r="IL125" s="1708"/>
      <c r="IM125" s="1708"/>
      <c r="IN125" s="1708"/>
      <c r="IO125" s="1708"/>
      <c r="IP125" s="1708"/>
      <c r="IQ125" s="1708"/>
      <c r="IR125" s="1708"/>
      <c r="IS125" s="1708"/>
      <c r="IT125" s="1708"/>
      <c r="IU125" s="1708"/>
      <c r="IV125" s="1708"/>
    </row>
    <row r="126" spans="1:256" s="78" customFormat="1" x14ac:dyDescent="0.25">
      <c r="B126" s="1851"/>
      <c r="C126" s="2510"/>
      <c r="D126" s="2511"/>
      <c r="E126" s="2511"/>
      <c r="F126" s="2511"/>
      <c r="G126" s="2511"/>
      <c r="H126" s="2511"/>
      <c r="I126" s="2511"/>
      <c r="J126" s="2512"/>
      <c r="K126" s="1852"/>
      <c r="N126" s="57"/>
      <c r="O126" s="57"/>
      <c r="P126" s="57"/>
      <c r="Q126" s="57"/>
      <c r="R126" s="57"/>
      <c r="S126" s="1708"/>
      <c r="T126" s="1708"/>
      <c r="U126" s="1708"/>
      <c r="V126" s="1708"/>
      <c r="W126" s="1708"/>
      <c r="X126" s="1708"/>
      <c r="Y126" s="1708"/>
      <c r="Z126" s="1708"/>
      <c r="AA126" s="1708"/>
      <c r="AB126" s="1708"/>
      <c r="AC126" s="1708"/>
      <c r="AD126" s="1708"/>
      <c r="AE126" s="1708"/>
      <c r="AF126" s="1708"/>
      <c r="AG126" s="1708"/>
      <c r="AH126" s="1708"/>
      <c r="AI126" s="1708"/>
      <c r="AJ126" s="1708"/>
      <c r="AK126" s="1708"/>
      <c r="AL126" s="1708"/>
      <c r="AM126" s="1708"/>
      <c r="AN126" s="1708"/>
      <c r="AO126" s="1708"/>
      <c r="AP126" s="1708"/>
      <c r="AQ126" s="1708"/>
      <c r="AR126" s="1708"/>
      <c r="AS126" s="1708"/>
      <c r="AT126" s="1708"/>
      <c r="AU126" s="1708"/>
      <c r="AV126" s="1708"/>
      <c r="AW126" s="1708"/>
      <c r="AX126" s="1708"/>
      <c r="AY126" s="1708"/>
      <c r="AZ126" s="1708"/>
      <c r="BA126" s="1708"/>
      <c r="BB126" s="1708"/>
      <c r="BC126" s="1708"/>
      <c r="BD126" s="1708"/>
      <c r="BE126" s="1708"/>
      <c r="BF126" s="1708"/>
      <c r="BG126" s="1708"/>
      <c r="BH126" s="1708"/>
      <c r="BI126" s="1708"/>
      <c r="BJ126" s="1708"/>
      <c r="BK126" s="1708"/>
      <c r="BL126" s="1708"/>
      <c r="BM126" s="1708"/>
      <c r="BN126" s="1708"/>
      <c r="BO126" s="1708"/>
      <c r="BP126" s="1708"/>
      <c r="BQ126" s="1708"/>
      <c r="BR126" s="1708"/>
      <c r="BS126" s="1708"/>
      <c r="BT126" s="1708"/>
      <c r="BU126" s="1708"/>
      <c r="BV126" s="1708"/>
      <c r="BW126" s="1708"/>
      <c r="BX126" s="1708"/>
      <c r="BY126" s="1708"/>
      <c r="BZ126" s="1708"/>
      <c r="CA126" s="1708"/>
      <c r="CB126" s="1708"/>
      <c r="CC126" s="1708"/>
      <c r="CD126" s="1708"/>
      <c r="CE126" s="1708"/>
      <c r="CF126" s="1708"/>
      <c r="CG126" s="1708"/>
      <c r="CH126" s="1708"/>
      <c r="CI126" s="1708"/>
      <c r="CJ126" s="1708"/>
      <c r="CK126" s="1708"/>
      <c r="CL126" s="1708"/>
      <c r="CM126" s="1708"/>
      <c r="CN126" s="1708"/>
      <c r="CO126" s="1708"/>
      <c r="CP126" s="1708"/>
      <c r="CQ126" s="1708"/>
      <c r="CR126" s="1708"/>
      <c r="CS126" s="1708"/>
      <c r="CT126" s="1708"/>
      <c r="CU126" s="1708"/>
      <c r="CV126" s="1708"/>
      <c r="CW126" s="1708"/>
      <c r="CX126" s="1708"/>
      <c r="CY126" s="1708"/>
      <c r="CZ126" s="1708"/>
      <c r="DA126" s="1708"/>
      <c r="DB126" s="1708"/>
      <c r="DC126" s="1708"/>
      <c r="DD126" s="1708"/>
      <c r="DE126" s="1708"/>
      <c r="DF126" s="1708"/>
      <c r="DG126" s="1708"/>
      <c r="DH126" s="1708"/>
      <c r="DI126" s="1708"/>
      <c r="DJ126" s="1708"/>
      <c r="DK126" s="1708"/>
      <c r="DL126" s="1708"/>
      <c r="DM126" s="1708"/>
      <c r="DN126" s="1708"/>
      <c r="DO126" s="1708"/>
      <c r="DP126" s="1708"/>
      <c r="DQ126" s="1708"/>
      <c r="DR126" s="1708"/>
      <c r="DS126" s="1708"/>
      <c r="DT126" s="1708"/>
      <c r="DU126" s="1708"/>
      <c r="DV126" s="1708"/>
      <c r="DW126" s="1708"/>
      <c r="DX126" s="1708"/>
      <c r="DY126" s="1708"/>
      <c r="DZ126" s="1708"/>
      <c r="EA126" s="1708"/>
      <c r="EB126" s="1708"/>
      <c r="EC126" s="1708"/>
      <c r="ED126" s="1708"/>
      <c r="EE126" s="1708"/>
      <c r="EF126" s="1708"/>
      <c r="EG126" s="1708"/>
      <c r="EH126" s="1708"/>
      <c r="EI126" s="1708"/>
      <c r="EJ126" s="1708"/>
      <c r="EK126" s="1708"/>
      <c r="EL126" s="1708"/>
      <c r="EM126" s="1708"/>
      <c r="EN126" s="1708"/>
      <c r="EO126" s="1708"/>
      <c r="EP126" s="1708"/>
      <c r="EQ126" s="1708"/>
      <c r="ER126" s="1708"/>
      <c r="ES126" s="1708"/>
      <c r="ET126" s="1708"/>
      <c r="EU126" s="1708"/>
      <c r="EV126" s="1708"/>
      <c r="EW126" s="1708"/>
      <c r="EX126" s="1708"/>
      <c r="EY126" s="1708"/>
      <c r="EZ126" s="1708"/>
      <c r="FA126" s="1708"/>
      <c r="FB126" s="1708"/>
      <c r="FC126" s="1708"/>
      <c r="FD126" s="1708"/>
      <c r="FE126" s="1708"/>
      <c r="FF126" s="1708"/>
      <c r="FG126" s="1708"/>
      <c r="FH126" s="1708"/>
      <c r="FI126" s="1708"/>
      <c r="FJ126" s="1708"/>
      <c r="FK126" s="1708"/>
      <c r="FL126" s="1708"/>
      <c r="FM126" s="1708"/>
      <c r="FN126" s="1708"/>
      <c r="FO126" s="1708"/>
      <c r="FP126" s="1708"/>
      <c r="FQ126" s="1708"/>
      <c r="FR126" s="1708"/>
      <c r="FS126" s="1708"/>
      <c r="FT126" s="1708"/>
      <c r="FU126" s="1708"/>
      <c r="FV126" s="1708"/>
      <c r="FW126" s="1708"/>
      <c r="FX126" s="1708"/>
      <c r="FY126" s="1708"/>
      <c r="FZ126" s="1708"/>
      <c r="GA126" s="1708"/>
      <c r="GB126" s="1708"/>
      <c r="GC126" s="1708"/>
      <c r="GD126" s="1708"/>
      <c r="GE126" s="1708"/>
      <c r="GF126" s="1708"/>
      <c r="GG126" s="1708"/>
      <c r="GH126" s="1708"/>
      <c r="GI126" s="1708"/>
      <c r="GJ126" s="1708"/>
      <c r="GK126" s="1708"/>
      <c r="GL126" s="1708"/>
      <c r="GM126" s="1708"/>
      <c r="GN126" s="1708"/>
      <c r="GO126" s="1708"/>
      <c r="GP126" s="1708"/>
      <c r="GQ126" s="1708"/>
      <c r="GR126" s="1708"/>
      <c r="GS126" s="1708"/>
      <c r="GT126" s="1708"/>
      <c r="GU126" s="1708"/>
      <c r="GV126" s="1708"/>
      <c r="GW126" s="1708"/>
      <c r="GX126" s="1708"/>
      <c r="GY126" s="1708"/>
      <c r="GZ126" s="1708"/>
      <c r="HA126" s="1708"/>
      <c r="HB126" s="1708"/>
      <c r="HC126" s="1708"/>
      <c r="HD126" s="1708"/>
      <c r="HE126" s="1708"/>
      <c r="HF126" s="1708"/>
      <c r="HG126" s="1708"/>
      <c r="HH126" s="1708"/>
      <c r="HI126" s="1708"/>
      <c r="HJ126" s="1708"/>
      <c r="HK126" s="1708"/>
      <c r="HL126" s="1708"/>
      <c r="HM126" s="1708"/>
      <c r="HN126" s="1708"/>
      <c r="HO126" s="1708"/>
      <c r="HP126" s="1708"/>
      <c r="HQ126" s="1708"/>
      <c r="HR126" s="1708"/>
      <c r="HS126" s="1708"/>
      <c r="HT126" s="1708"/>
      <c r="HU126" s="1708"/>
      <c r="HV126" s="1708"/>
      <c r="HW126" s="1708"/>
      <c r="HX126" s="1708"/>
      <c r="HY126" s="1708"/>
      <c r="HZ126" s="1708"/>
      <c r="IA126" s="1708"/>
      <c r="IB126" s="1708"/>
      <c r="IC126" s="1708"/>
      <c r="ID126" s="1708"/>
      <c r="IE126" s="1708"/>
      <c r="IF126" s="1708"/>
      <c r="IG126" s="1708"/>
      <c r="IH126" s="1708"/>
      <c r="II126" s="1708"/>
      <c r="IJ126" s="1708"/>
      <c r="IK126" s="1708"/>
      <c r="IL126" s="1708"/>
      <c r="IM126" s="1708"/>
      <c r="IN126" s="1708"/>
      <c r="IO126" s="1708"/>
      <c r="IP126" s="1708"/>
      <c r="IQ126" s="1708"/>
      <c r="IR126" s="1708"/>
      <c r="IS126" s="1708"/>
      <c r="IT126" s="1708"/>
      <c r="IU126" s="1708"/>
      <c r="IV126" s="1708"/>
    </row>
    <row r="127" spans="1:256" s="78" customFormat="1" x14ac:dyDescent="0.25">
      <c r="B127" s="1851"/>
      <c r="C127" s="2510"/>
      <c r="D127" s="2511"/>
      <c r="E127" s="2511"/>
      <c r="F127" s="2511"/>
      <c r="G127" s="2511"/>
      <c r="H127" s="2511"/>
      <c r="I127" s="2511"/>
      <c r="J127" s="2512"/>
      <c r="K127" s="1852"/>
      <c r="N127" s="57"/>
      <c r="O127" s="57"/>
      <c r="P127" s="57"/>
      <c r="Q127" s="57"/>
      <c r="R127" s="57"/>
      <c r="S127" s="1708"/>
      <c r="T127" s="1708"/>
      <c r="U127" s="1708"/>
      <c r="V127" s="1708"/>
      <c r="W127" s="1708"/>
      <c r="X127" s="1708"/>
      <c r="Y127" s="1708"/>
      <c r="Z127" s="1708"/>
      <c r="AA127" s="1708"/>
      <c r="AB127" s="1708"/>
      <c r="AC127" s="1708"/>
      <c r="AD127" s="1708"/>
      <c r="AE127" s="1708"/>
      <c r="AF127" s="1708"/>
      <c r="AG127" s="1708"/>
      <c r="AH127" s="1708"/>
      <c r="AI127" s="1708"/>
      <c r="AJ127" s="1708"/>
      <c r="AK127" s="1708"/>
      <c r="AL127" s="1708"/>
      <c r="AM127" s="1708"/>
      <c r="AN127" s="1708"/>
      <c r="AO127" s="1708"/>
      <c r="AP127" s="1708"/>
      <c r="AQ127" s="1708"/>
      <c r="AR127" s="1708"/>
      <c r="AS127" s="1708"/>
      <c r="AT127" s="1708"/>
      <c r="AU127" s="1708"/>
      <c r="AV127" s="1708"/>
      <c r="AW127" s="1708"/>
      <c r="AX127" s="1708"/>
      <c r="AY127" s="1708"/>
      <c r="AZ127" s="1708"/>
      <c r="BA127" s="1708"/>
      <c r="BB127" s="1708"/>
      <c r="BC127" s="1708"/>
      <c r="BD127" s="1708"/>
      <c r="BE127" s="1708"/>
      <c r="BF127" s="1708"/>
      <c r="BG127" s="1708"/>
      <c r="BH127" s="1708"/>
      <c r="BI127" s="1708"/>
      <c r="BJ127" s="1708"/>
      <c r="BK127" s="1708"/>
      <c r="BL127" s="1708"/>
      <c r="BM127" s="1708"/>
      <c r="BN127" s="1708"/>
      <c r="BO127" s="1708"/>
      <c r="BP127" s="1708"/>
      <c r="BQ127" s="1708"/>
      <c r="BR127" s="1708"/>
      <c r="BS127" s="1708"/>
      <c r="BT127" s="1708"/>
      <c r="BU127" s="1708"/>
      <c r="BV127" s="1708"/>
      <c r="BW127" s="1708"/>
      <c r="BX127" s="1708"/>
      <c r="BY127" s="1708"/>
      <c r="BZ127" s="1708"/>
      <c r="CA127" s="1708"/>
      <c r="CB127" s="1708"/>
      <c r="CC127" s="1708"/>
      <c r="CD127" s="1708"/>
      <c r="CE127" s="1708"/>
      <c r="CF127" s="1708"/>
      <c r="CG127" s="1708"/>
      <c r="CH127" s="1708"/>
      <c r="CI127" s="1708"/>
      <c r="CJ127" s="1708"/>
      <c r="CK127" s="1708"/>
      <c r="CL127" s="1708"/>
      <c r="CM127" s="1708"/>
      <c r="CN127" s="1708"/>
      <c r="CO127" s="1708"/>
      <c r="CP127" s="1708"/>
      <c r="CQ127" s="1708"/>
      <c r="CR127" s="1708"/>
      <c r="CS127" s="1708"/>
      <c r="CT127" s="1708"/>
      <c r="CU127" s="1708"/>
      <c r="CV127" s="1708"/>
      <c r="CW127" s="1708"/>
      <c r="CX127" s="1708"/>
      <c r="CY127" s="1708"/>
      <c r="CZ127" s="1708"/>
      <c r="DA127" s="1708"/>
      <c r="DB127" s="1708"/>
      <c r="DC127" s="1708"/>
      <c r="DD127" s="1708"/>
      <c r="DE127" s="1708"/>
      <c r="DF127" s="1708"/>
      <c r="DG127" s="1708"/>
      <c r="DH127" s="1708"/>
      <c r="DI127" s="1708"/>
      <c r="DJ127" s="1708"/>
      <c r="DK127" s="1708"/>
      <c r="DL127" s="1708"/>
      <c r="DM127" s="1708"/>
      <c r="DN127" s="1708"/>
      <c r="DO127" s="1708"/>
      <c r="DP127" s="1708"/>
      <c r="DQ127" s="1708"/>
      <c r="DR127" s="1708"/>
      <c r="DS127" s="1708"/>
      <c r="DT127" s="1708"/>
      <c r="DU127" s="1708"/>
      <c r="DV127" s="1708"/>
      <c r="DW127" s="1708"/>
      <c r="DX127" s="1708"/>
      <c r="DY127" s="1708"/>
      <c r="DZ127" s="1708"/>
      <c r="EA127" s="1708"/>
      <c r="EB127" s="1708"/>
      <c r="EC127" s="1708"/>
      <c r="ED127" s="1708"/>
      <c r="EE127" s="1708"/>
      <c r="EF127" s="1708"/>
      <c r="EG127" s="1708"/>
      <c r="EH127" s="1708"/>
      <c r="EI127" s="1708"/>
      <c r="EJ127" s="1708"/>
      <c r="EK127" s="1708"/>
      <c r="EL127" s="1708"/>
      <c r="EM127" s="1708"/>
      <c r="EN127" s="1708"/>
      <c r="EO127" s="1708"/>
      <c r="EP127" s="1708"/>
      <c r="EQ127" s="1708"/>
      <c r="ER127" s="1708"/>
      <c r="ES127" s="1708"/>
      <c r="ET127" s="1708"/>
      <c r="EU127" s="1708"/>
      <c r="EV127" s="1708"/>
      <c r="EW127" s="1708"/>
      <c r="EX127" s="1708"/>
      <c r="EY127" s="1708"/>
      <c r="EZ127" s="1708"/>
      <c r="FA127" s="1708"/>
      <c r="FB127" s="1708"/>
      <c r="FC127" s="1708"/>
      <c r="FD127" s="1708"/>
      <c r="FE127" s="1708"/>
      <c r="FF127" s="1708"/>
      <c r="FG127" s="1708"/>
      <c r="FH127" s="1708"/>
      <c r="FI127" s="1708"/>
      <c r="FJ127" s="1708"/>
      <c r="FK127" s="1708"/>
      <c r="FL127" s="1708"/>
      <c r="FM127" s="1708"/>
      <c r="FN127" s="1708"/>
      <c r="FO127" s="1708"/>
      <c r="FP127" s="1708"/>
      <c r="FQ127" s="1708"/>
      <c r="FR127" s="1708"/>
      <c r="FS127" s="1708"/>
      <c r="FT127" s="1708"/>
      <c r="FU127" s="1708"/>
      <c r="FV127" s="1708"/>
      <c r="FW127" s="1708"/>
      <c r="FX127" s="1708"/>
      <c r="FY127" s="1708"/>
      <c r="FZ127" s="1708"/>
      <c r="GA127" s="1708"/>
      <c r="GB127" s="1708"/>
      <c r="GC127" s="1708"/>
      <c r="GD127" s="1708"/>
      <c r="GE127" s="1708"/>
      <c r="GF127" s="1708"/>
      <c r="GG127" s="1708"/>
      <c r="GH127" s="1708"/>
      <c r="GI127" s="1708"/>
      <c r="GJ127" s="1708"/>
      <c r="GK127" s="1708"/>
      <c r="GL127" s="1708"/>
      <c r="GM127" s="1708"/>
      <c r="GN127" s="1708"/>
      <c r="GO127" s="1708"/>
      <c r="GP127" s="1708"/>
      <c r="GQ127" s="1708"/>
      <c r="GR127" s="1708"/>
      <c r="GS127" s="1708"/>
      <c r="GT127" s="1708"/>
      <c r="GU127" s="1708"/>
      <c r="GV127" s="1708"/>
      <c r="GW127" s="1708"/>
      <c r="GX127" s="1708"/>
      <c r="GY127" s="1708"/>
      <c r="GZ127" s="1708"/>
      <c r="HA127" s="1708"/>
      <c r="HB127" s="1708"/>
      <c r="HC127" s="1708"/>
      <c r="HD127" s="1708"/>
      <c r="HE127" s="1708"/>
      <c r="HF127" s="1708"/>
      <c r="HG127" s="1708"/>
      <c r="HH127" s="1708"/>
      <c r="HI127" s="1708"/>
      <c r="HJ127" s="1708"/>
      <c r="HK127" s="1708"/>
      <c r="HL127" s="1708"/>
      <c r="HM127" s="1708"/>
      <c r="HN127" s="1708"/>
      <c r="HO127" s="1708"/>
      <c r="HP127" s="1708"/>
      <c r="HQ127" s="1708"/>
      <c r="HR127" s="1708"/>
      <c r="HS127" s="1708"/>
      <c r="HT127" s="1708"/>
      <c r="HU127" s="1708"/>
      <c r="HV127" s="1708"/>
      <c r="HW127" s="1708"/>
      <c r="HX127" s="1708"/>
      <c r="HY127" s="1708"/>
      <c r="HZ127" s="1708"/>
      <c r="IA127" s="1708"/>
      <c r="IB127" s="1708"/>
      <c r="IC127" s="1708"/>
      <c r="ID127" s="1708"/>
      <c r="IE127" s="1708"/>
      <c r="IF127" s="1708"/>
      <c r="IG127" s="1708"/>
      <c r="IH127" s="1708"/>
      <c r="II127" s="1708"/>
      <c r="IJ127" s="1708"/>
      <c r="IK127" s="1708"/>
      <c r="IL127" s="1708"/>
      <c r="IM127" s="1708"/>
      <c r="IN127" s="1708"/>
      <c r="IO127" s="1708"/>
      <c r="IP127" s="1708"/>
      <c r="IQ127" s="1708"/>
      <c r="IR127" s="1708"/>
      <c r="IS127" s="1708"/>
      <c r="IT127" s="1708"/>
      <c r="IU127" s="1708"/>
      <c r="IV127" s="1708"/>
    </row>
    <row r="128" spans="1:256" s="78" customFormat="1" x14ac:dyDescent="0.25">
      <c r="B128" s="1851"/>
      <c r="C128" s="2510"/>
      <c r="D128" s="2511"/>
      <c r="E128" s="2511"/>
      <c r="F128" s="2511"/>
      <c r="G128" s="2511"/>
      <c r="H128" s="2511"/>
      <c r="I128" s="2511"/>
      <c r="J128" s="2512"/>
      <c r="K128" s="1852"/>
      <c r="N128" s="57"/>
      <c r="O128" s="57"/>
      <c r="P128" s="57"/>
      <c r="Q128" s="57"/>
      <c r="R128" s="57"/>
      <c r="S128" s="1708"/>
      <c r="T128" s="1708"/>
      <c r="U128" s="1708"/>
      <c r="V128" s="1708"/>
      <c r="W128" s="1708"/>
      <c r="X128" s="1708"/>
      <c r="Y128" s="1708"/>
      <c r="Z128" s="1708"/>
      <c r="AA128" s="1708"/>
      <c r="AB128" s="1708"/>
      <c r="AC128" s="1708"/>
      <c r="AD128" s="1708"/>
      <c r="AE128" s="1708"/>
      <c r="AF128" s="1708"/>
      <c r="AG128" s="1708"/>
      <c r="AH128" s="1708"/>
      <c r="AI128" s="1708"/>
      <c r="AJ128" s="1708"/>
      <c r="AK128" s="1708"/>
      <c r="AL128" s="1708"/>
      <c r="AM128" s="1708"/>
      <c r="AN128" s="1708"/>
      <c r="AO128" s="1708"/>
      <c r="AP128" s="1708"/>
      <c r="AQ128" s="1708"/>
      <c r="AR128" s="1708"/>
      <c r="AS128" s="1708"/>
      <c r="AT128" s="1708"/>
      <c r="AU128" s="1708"/>
      <c r="AV128" s="1708"/>
      <c r="AW128" s="1708"/>
      <c r="AX128" s="1708"/>
      <c r="AY128" s="1708"/>
      <c r="AZ128" s="1708"/>
      <c r="BA128" s="1708"/>
      <c r="BB128" s="1708"/>
      <c r="BC128" s="1708"/>
      <c r="BD128" s="1708"/>
      <c r="BE128" s="1708"/>
      <c r="BF128" s="1708"/>
      <c r="BG128" s="1708"/>
      <c r="BH128" s="1708"/>
      <c r="BI128" s="1708"/>
      <c r="BJ128" s="1708"/>
      <c r="BK128" s="1708"/>
      <c r="BL128" s="1708"/>
      <c r="BM128" s="1708"/>
      <c r="BN128" s="1708"/>
      <c r="BO128" s="1708"/>
      <c r="BP128" s="1708"/>
      <c r="BQ128" s="1708"/>
      <c r="BR128" s="1708"/>
      <c r="BS128" s="1708"/>
      <c r="BT128" s="1708"/>
      <c r="BU128" s="1708"/>
      <c r="BV128" s="1708"/>
      <c r="BW128" s="1708"/>
      <c r="BX128" s="1708"/>
      <c r="BY128" s="1708"/>
      <c r="BZ128" s="1708"/>
      <c r="CA128" s="1708"/>
      <c r="CB128" s="1708"/>
      <c r="CC128" s="1708"/>
      <c r="CD128" s="1708"/>
      <c r="CE128" s="1708"/>
      <c r="CF128" s="1708"/>
      <c r="CG128" s="1708"/>
      <c r="CH128" s="1708"/>
      <c r="CI128" s="1708"/>
      <c r="CJ128" s="1708"/>
      <c r="CK128" s="1708"/>
      <c r="CL128" s="1708"/>
      <c r="CM128" s="1708"/>
      <c r="CN128" s="1708"/>
      <c r="CO128" s="1708"/>
      <c r="CP128" s="1708"/>
      <c r="CQ128" s="1708"/>
      <c r="CR128" s="1708"/>
      <c r="CS128" s="1708"/>
      <c r="CT128" s="1708"/>
      <c r="CU128" s="1708"/>
      <c r="CV128" s="1708"/>
      <c r="CW128" s="1708"/>
      <c r="CX128" s="1708"/>
      <c r="CY128" s="1708"/>
      <c r="CZ128" s="1708"/>
      <c r="DA128" s="1708"/>
      <c r="DB128" s="1708"/>
      <c r="DC128" s="1708"/>
      <c r="DD128" s="1708"/>
      <c r="DE128" s="1708"/>
      <c r="DF128" s="1708"/>
      <c r="DG128" s="1708"/>
      <c r="DH128" s="1708"/>
      <c r="DI128" s="1708"/>
      <c r="DJ128" s="1708"/>
      <c r="DK128" s="1708"/>
      <c r="DL128" s="1708"/>
      <c r="DM128" s="1708"/>
      <c r="DN128" s="1708"/>
      <c r="DO128" s="1708"/>
      <c r="DP128" s="1708"/>
      <c r="DQ128" s="1708"/>
      <c r="DR128" s="1708"/>
      <c r="DS128" s="1708"/>
      <c r="DT128" s="1708"/>
      <c r="DU128" s="1708"/>
      <c r="DV128" s="1708"/>
      <c r="DW128" s="1708"/>
      <c r="DX128" s="1708"/>
      <c r="DY128" s="1708"/>
      <c r="DZ128" s="1708"/>
      <c r="EA128" s="1708"/>
      <c r="EB128" s="1708"/>
      <c r="EC128" s="1708"/>
      <c r="ED128" s="1708"/>
      <c r="EE128" s="1708"/>
      <c r="EF128" s="1708"/>
      <c r="EG128" s="1708"/>
      <c r="EH128" s="1708"/>
      <c r="EI128" s="1708"/>
      <c r="EJ128" s="1708"/>
      <c r="EK128" s="1708"/>
      <c r="EL128" s="1708"/>
      <c r="EM128" s="1708"/>
      <c r="EN128" s="1708"/>
      <c r="EO128" s="1708"/>
      <c r="EP128" s="1708"/>
      <c r="EQ128" s="1708"/>
      <c r="ER128" s="1708"/>
      <c r="ES128" s="1708"/>
      <c r="ET128" s="1708"/>
      <c r="EU128" s="1708"/>
      <c r="EV128" s="1708"/>
      <c r="EW128" s="1708"/>
      <c r="EX128" s="1708"/>
      <c r="EY128" s="1708"/>
      <c r="EZ128" s="1708"/>
      <c r="FA128" s="1708"/>
      <c r="FB128" s="1708"/>
      <c r="FC128" s="1708"/>
      <c r="FD128" s="1708"/>
      <c r="FE128" s="1708"/>
      <c r="FF128" s="1708"/>
      <c r="FG128" s="1708"/>
      <c r="FH128" s="1708"/>
      <c r="FI128" s="1708"/>
      <c r="FJ128" s="1708"/>
      <c r="FK128" s="1708"/>
      <c r="FL128" s="1708"/>
      <c r="FM128" s="1708"/>
      <c r="FN128" s="1708"/>
      <c r="FO128" s="1708"/>
      <c r="FP128" s="1708"/>
      <c r="FQ128" s="1708"/>
      <c r="FR128" s="1708"/>
      <c r="FS128" s="1708"/>
      <c r="FT128" s="1708"/>
      <c r="FU128" s="1708"/>
      <c r="FV128" s="1708"/>
      <c r="FW128" s="1708"/>
      <c r="FX128" s="1708"/>
      <c r="FY128" s="1708"/>
      <c r="FZ128" s="1708"/>
      <c r="GA128" s="1708"/>
      <c r="GB128" s="1708"/>
      <c r="GC128" s="1708"/>
      <c r="GD128" s="1708"/>
      <c r="GE128" s="1708"/>
      <c r="GF128" s="1708"/>
      <c r="GG128" s="1708"/>
      <c r="GH128" s="1708"/>
      <c r="GI128" s="1708"/>
      <c r="GJ128" s="1708"/>
      <c r="GK128" s="1708"/>
      <c r="GL128" s="1708"/>
      <c r="GM128" s="1708"/>
      <c r="GN128" s="1708"/>
      <c r="GO128" s="1708"/>
      <c r="GP128" s="1708"/>
      <c r="GQ128" s="1708"/>
      <c r="GR128" s="1708"/>
      <c r="GS128" s="1708"/>
      <c r="GT128" s="1708"/>
      <c r="GU128" s="1708"/>
      <c r="GV128" s="1708"/>
      <c r="GW128" s="1708"/>
      <c r="GX128" s="1708"/>
      <c r="GY128" s="1708"/>
      <c r="GZ128" s="1708"/>
      <c r="HA128" s="1708"/>
      <c r="HB128" s="1708"/>
      <c r="HC128" s="1708"/>
      <c r="HD128" s="1708"/>
      <c r="HE128" s="1708"/>
      <c r="HF128" s="1708"/>
      <c r="HG128" s="1708"/>
      <c r="HH128" s="1708"/>
      <c r="HI128" s="1708"/>
      <c r="HJ128" s="1708"/>
      <c r="HK128" s="1708"/>
      <c r="HL128" s="1708"/>
      <c r="HM128" s="1708"/>
      <c r="HN128" s="1708"/>
      <c r="HO128" s="1708"/>
      <c r="HP128" s="1708"/>
      <c r="HQ128" s="1708"/>
      <c r="HR128" s="1708"/>
      <c r="HS128" s="1708"/>
      <c r="HT128" s="1708"/>
      <c r="HU128" s="1708"/>
      <c r="HV128" s="1708"/>
      <c r="HW128" s="1708"/>
      <c r="HX128" s="1708"/>
      <c r="HY128" s="1708"/>
      <c r="HZ128" s="1708"/>
      <c r="IA128" s="1708"/>
      <c r="IB128" s="1708"/>
      <c r="IC128" s="1708"/>
      <c r="ID128" s="1708"/>
      <c r="IE128" s="1708"/>
      <c r="IF128" s="1708"/>
      <c r="IG128" s="1708"/>
      <c r="IH128" s="1708"/>
      <c r="II128" s="1708"/>
      <c r="IJ128" s="1708"/>
      <c r="IK128" s="1708"/>
      <c r="IL128" s="1708"/>
      <c r="IM128" s="1708"/>
      <c r="IN128" s="1708"/>
      <c r="IO128" s="1708"/>
      <c r="IP128" s="1708"/>
      <c r="IQ128" s="1708"/>
      <c r="IR128" s="1708"/>
      <c r="IS128" s="1708"/>
      <c r="IT128" s="1708"/>
      <c r="IU128" s="1708"/>
      <c r="IV128" s="1708"/>
    </row>
    <row r="129" spans="1:256" s="78" customFormat="1" x14ac:dyDescent="0.25">
      <c r="B129" s="1851"/>
      <c r="C129" s="2510"/>
      <c r="D129" s="2511"/>
      <c r="E129" s="2511"/>
      <c r="F129" s="2511"/>
      <c r="G129" s="2511"/>
      <c r="H129" s="2511"/>
      <c r="I129" s="2511"/>
      <c r="J129" s="2512"/>
      <c r="K129" s="1852"/>
      <c r="N129" s="57"/>
      <c r="O129" s="57"/>
      <c r="P129" s="57"/>
      <c r="Q129" s="57"/>
      <c r="R129" s="57"/>
      <c r="S129" s="1708"/>
      <c r="T129" s="1708"/>
      <c r="U129" s="1708"/>
      <c r="V129" s="1708"/>
      <c r="W129" s="1708"/>
      <c r="X129" s="1708"/>
      <c r="Y129" s="1708"/>
      <c r="Z129" s="1708"/>
      <c r="AA129" s="1708"/>
      <c r="AB129" s="1708"/>
      <c r="AC129" s="1708"/>
      <c r="AD129" s="1708"/>
      <c r="AE129" s="1708"/>
      <c r="AF129" s="1708"/>
      <c r="AG129" s="1708"/>
      <c r="AH129" s="1708"/>
      <c r="AI129" s="1708"/>
      <c r="AJ129" s="1708"/>
      <c r="AK129" s="1708"/>
      <c r="AL129" s="1708"/>
      <c r="AM129" s="1708"/>
      <c r="AN129" s="1708"/>
      <c r="AO129" s="1708"/>
      <c r="AP129" s="1708"/>
      <c r="AQ129" s="1708"/>
      <c r="AR129" s="1708"/>
      <c r="AS129" s="1708"/>
      <c r="AT129" s="1708"/>
      <c r="AU129" s="1708"/>
      <c r="AV129" s="1708"/>
      <c r="AW129" s="1708"/>
      <c r="AX129" s="1708"/>
      <c r="AY129" s="1708"/>
      <c r="AZ129" s="1708"/>
      <c r="BA129" s="1708"/>
      <c r="BB129" s="1708"/>
      <c r="BC129" s="1708"/>
      <c r="BD129" s="1708"/>
      <c r="BE129" s="1708"/>
      <c r="BF129" s="1708"/>
      <c r="BG129" s="1708"/>
      <c r="BH129" s="1708"/>
      <c r="BI129" s="1708"/>
      <c r="BJ129" s="1708"/>
      <c r="BK129" s="1708"/>
      <c r="BL129" s="1708"/>
      <c r="BM129" s="1708"/>
      <c r="BN129" s="1708"/>
      <c r="BO129" s="1708"/>
      <c r="BP129" s="1708"/>
      <c r="BQ129" s="1708"/>
      <c r="BR129" s="1708"/>
      <c r="BS129" s="1708"/>
      <c r="BT129" s="1708"/>
      <c r="BU129" s="1708"/>
      <c r="BV129" s="1708"/>
      <c r="BW129" s="1708"/>
      <c r="BX129" s="1708"/>
      <c r="BY129" s="1708"/>
      <c r="BZ129" s="1708"/>
      <c r="CA129" s="1708"/>
      <c r="CB129" s="1708"/>
      <c r="CC129" s="1708"/>
      <c r="CD129" s="1708"/>
      <c r="CE129" s="1708"/>
      <c r="CF129" s="1708"/>
      <c r="CG129" s="1708"/>
      <c r="CH129" s="1708"/>
      <c r="CI129" s="1708"/>
      <c r="CJ129" s="1708"/>
      <c r="CK129" s="1708"/>
      <c r="CL129" s="1708"/>
      <c r="CM129" s="1708"/>
      <c r="CN129" s="1708"/>
      <c r="CO129" s="1708"/>
      <c r="CP129" s="1708"/>
      <c r="CQ129" s="1708"/>
      <c r="CR129" s="1708"/>
      <c r="CS129" s="1708"/>
      <c r="CT129" s="1708"/>
      <c r="CU129" s="1708"/>
      <c r="CV129" s="1708"/>
      <c r="CW129" s="1708"/>
      <c r="CX129" s="1708"/>
      <c r="CY129" s="1708"/>
      <c r="CZ129" s="1708"/>
      <c r="DA129" s="1708"/>
      <c r="DB129" s="1708"/>
      <c r="DC129" s="1708"/>
      <c r="DD129" s="1708"/>
      <c r="DE129" s="1708"/>
      <c r="DF129" s="1708"/>
      <c r="DG129" s="1708"/>
      <c r="DH129" s="1708"/>
      <c r="DI129" s="1708"/>
      <c r="DJ129" s="1708"/>
      <c r="DK129" s="1708"/>
      <c r="DL129" s="1708"/>
      <c r="DM129" s="1708"/>
      <c r="DN129" s="1708"/>
      <c r="DO129" s="1708"/>
      <c r="DP129" s="1708"/>
      <c r="DQ129" s="1708"/>
      <c r="DR129" s="1708"/>
      <c r="DS129" s="1708"/>
      <c r="DT129" s="1708"/>
      <c r="DU129" s="1708"/>
      <c r="DV129" s="1708"/>
      <c r="DW129" s="1708"/>
      <c r="DX129" s="1708"/>
      <c r="DY129" s="1708"/>
      <c r="DZ129" s="1708"/>
      <c r="EA129" s="1708"/>
      <c r="EB129" s="1708"/>
      <c r="EC129" s="1708"/>
      <c r="ED129" s="1708"/>
      <c r="EE129" s="1708"/>
      <c r="EF129" s="1708"/>
      <c r="EG129" s="1708"/>
      <c r="EH129" s="1708"/>
      <c r="EI129" s="1708"/>
      <c r="EJ129" s="1708"/>
      <c r="EK129" s="1708"/>
      <c r="EL129" s="1708"/>
      <c r="EM129" s="1708"/>
      <c r="EN129" s="1708"/>
      <c r="EO129" s="1708"/>
      <c r="EP129" s="1708"/>
      <c r="EQ129" s="1708"/>
      <c r="ER129" s="1708"/>
      <c r="ES129" s="1708"/>
      <c r="ET129" s="1708"/>
      <c r="EU129" s="1708"/>
      <c r="EV129" s="1708"/>
      <c r="EW129" s="1708"/>
      <c r="EX129" s="1708"/>
      <c r="EY129" s="1708"/>
      <c r="EZ129" s="1708"/>
      <c r="FA129" s="1708"/>
      <c r="FB129" s="1708"/>
      <c r="FC129" s="1708"/>
      <c r="FD129" s="1708"/>
      <c r="FE129" s="1708"/>
      <c r="FF129" s="1708"/>
      <c r="FG129" s="1708"/>
      <c r="FH129" s="1708"/>
      <c r="FI129" s="1708"/>
      <c r="FJ129" s="1708"/>
      <c r="FK129" s="1708"/>
      <c r="FL129" s="1708"/>
      <c r="FM129" s="1708"/>
      <c r="FN129" s="1708"/>
      <c r="FO129" s="1708"/>
      <c r="FP129" s="1708"/>
      <c r="FQ129" s="1708"/>
      <c r="FR129" s="1708"/>
      <c r="FS129" s="1708"/>
      <c r="FT129" s="1708"/>
      <c r="FU129" s="1708"/>
      <c r="FV129" s="1708"/>
      <c r="FW129" s="1708"/>
      <c r="FX129" s="1708"/>
      <c r="FY129" s="1708"/>
      <c r="FZ129" s="1708"/>
      <c r="GA129" s="1708"/>
      <c r="GB129" s="1708"/>
      <c r="GC129" s="1708"/>
      <c r="GD129" s="1708"/>
      <c r="GE129" s="1708"/>
      <c r="GF129" s="1708"/>
      <c r="GG129" s="1708"/>
      <c r="GH129" s="1708"/>
      <c r="GI129" s="1708"/>
      <c r="GJ129" s="1708"/>
      <c r="GK129" s="1708"/>
      <c r="GL129" s="1708"/>
      <c r="GM129" s="1708"/>
      <c r="GN129" s="1708"/>
      <c r="GO129" s="1708"/>
      <c r="GP129" s="1708"/>
      <c r="GQ129" s="1708"/>
      <c r="GR129" s="1708"/>
      <c r="GS129" s="1708"/>
      <c r="GT129" s="1708"/>
      <c r="GU129" s="1708"/>
      <c r="GV129" s="1708"/>
      <c r="GW129" s="1708"/>
      <c r="GX129" s="1708"/>
      <c r="GY129" s="1708"/>
      <c r="GZ129" s="1708"/>
      <c r="HA129" s="1708"/>
      <c r="HB129" s="1708"/>
      <c r="HC129" s="1708"/>
      <c r="HD129" s="1708"/>
      <c r="HE129" s="1708"/>
      <c r="HF129" s="1708"/>
      <c r="HG129" s="1708"/>
      <c r="HH129" s="1708"/>
      <c r="HI129" s="1708"/>
      <c r="HJ129" s="1708"/>
      <c r="HK129" s="1708"/>
      <c r="HL129" s="1708"/>
      <c r="HM129" s="1708"/>
      <c r="HN129" s="1708"/>
      <c r="HO129" s="1708"/>
      <c r="HP129" s="1708"/>
      <c r="HQ129" s="1708"/>
      <c r="HR129" s="1708"/>
      <c r="HS129" s="1708"/>
      <c r="HT129" s="1708"/>
      <c r="HU129" s="1708"/>
      <c r="HV129" s="1708"/>
      <c r="HW129" s="1708"/>
      <c r="HX129" s="1708"/>
      <c r="HY129" s="1708"/>
      <c r="HZ129" s="1708"/>
      <c r="IA129" s="1708"/>
      <c r="IB129" s="1708"/>
      <c r="IC129" s="1708"/>
      <c r="ID129" s="1708"/>
      <c r="IE129" s="1708"/>
      <c r="IF129" s="1708"/>
      <c r="IG129" s="1708"/>
      <c r="IH129" s="1708"/>
      <c r="II129" s="1708"/>
      <c r="IJ129" s="1708"/>
      <c r="IK129" s="1708"/>
      <c r="IL129" s="1708"/>
      <c r="IM129" s="1708"/>
      <c r="IN129" s="1708"/>
      <c r="IO129" s="1708"/>
      <c r="IP129" s="1708"/>
      <c r="IQ129" s="1708"/>
      <c r="IR129" s="1708"/>
      <c r="IS129" s="1708"/>
      <c r="IT129" s="1708"/>
      <c r="IU129" s="1708"/>
      <c r="IV129" s="1708"/>
    </row>
    <row r="130" spans="1:256" s="78" customFormat="1" x14ac:dyDescent="0.25">
      <c r="B130" s="1851"/>
      <c r="C130" s="2510"/>
      <c r="D130" s="2511"/>
      <c r="E130" s="2511"/>
      <c r="F130" s="2511"/>
      <c r="G130" s="2511"/>
      <c r="H130" s="2511"/>
      <c r="I130" s="2511"/>
      <c r="J130" s="2512"/>
      <c r="K130" s="1852"/>
      <c r="N130" s="57"/>
      <c r="O130" s="57"/>
      <c r="P130" s="57"/>
      <c r="Q130" s="57"/>
      <c r="R130" s="57"/>
      <c r="S130" s="1708"/>
      <c r="T130" s="1708"/>
      <c r="U130" s="1708"/>
      <c r="V130" s="1708"/>
      <c r="W130" s="1708"/>
      <c r="X130" s="1708"/>
      <c r="Y130" s="1708"/>
      <c r="Z130" s="1708"/>
      <c r="AA130" s="1708"/>
      <c r="AB130" s="1708"/>
      <c r="AC130" s="1708"/>
      <c r="AD130" s="1708"/>
      <c r="AE130" s="1708"/>
      <c r="AF130" s="1708"/>
      <c r="AG130" s="1708"/>
      <c r="AH130" s="1708"/>
      <c r="AI130" s="1708"/>
      <c r="AJ130" s="1708"/>
      <c r="AK130" s="1708"/>
      <c r="AL130" s="1708"/>
      <c r="AM130" s="1708"/>
      <c r="AN130" s="1708"/>
      <c r="AO130" s="1708"/>
      <c r="AP130" s="1708"/>
      <c r="AQ130" s="1708"/>
      <c r="AR130" s="1708"/>
      <c r="AS130" s="1708"/>
      <c r="AT130" s="1708"/>
      <c r="AU130" s="1708"/>
      <c r="AV130" s="1708"/>
      <c r="AW130" s="1708"/>
      <c r="AX130" s="1708"/>
      <c r="AY130" s="1708"/>
      <c r="AZ130" s="1708"/>
      <c r="BA130" s="1708"/>
      <c r="BB130" s="1708"/>
      <c r="BC130" s="1708"/>
      <c r="BD130" s="1708"/>
      <c r="BE130" s="1708"/>
      <c r="BF130" s="1708"/>
      <c r="BG130" s="1708"/>
      <c r="BH130" s="1708"/>
      <c r="BI130" s="1708"/>
      <c r="BJ130" s="1708"/>
      <c r="BK130" s="1708"/>
      <c r="BL130" s="1708"/>
      <c r="BM130" s="1708"/>
      <c r="BN130" s="1708"/>
      <c r="BO130" s="1708"/>
      <c r="BP130" s="1708"/>
      <c r="BQ130" s="1708"/>
      <c r="BR130" s="1708"/>
      <c r="BS130" s="1708"/>
      <c r="BT130" s="1708"/>
      <c r="BU130" s="1708"/>
      <c r="BV130" s="1708"/>
      <c r="BW130" s="1708"/>
      <c r="BX130" s="1708"/>
      <c r="BY130" s="1708"/>
      <c r="BZ130" s="1708"/>
      <c r="CA130" s="1708"/>
      <c r="CB130" s="1708"/>
      <c r="CC130" s="1708"/>
      <c r="CD130" s="1708"/>
      <c r="CE130" s="1708"/>
      <c r="CF130" s="1708"/>
      <c r="CG130" s="1708"/>
      <c r="CH130" s="1708"/>
      <c r="CI130" s="1708"/>
      <c r="CJ130" s="1708"/>
      <c r="CK130" s="1708"/>
      <c r="CL130" s="1708"/>
      <c r="CM130" s="1708"/>
      <c r="CN130" s="1708"/>
      <c r="CO130" s="1708"/>
      <c r="CP130" s="1708"/>
      <c r="CQ130" s="1708"/>
      <c r="CR130" s="1708"/>
      <c r="CS130" s="1708"/>
      <c r="CT130" s="1708"/>
      <c r="CU130" s="1708"/>
      <c r="CV130" s="1708"/>
      <c r="CW130" s="1708"/>
      <c r="CX130" s="1708"/>
      <c r="CY130" s="1708"/>
      <c r="CZ130" s="1708"/>
      <c r="DA130" s="1708"/>
      <c r="DB130" s="1708"/>
      <c r="DC130" s="1708"/>
      <c r="DD130" s="1708"/>
      <c r="DE130" s="1708"/>
      <c r="DF130" s="1708"/>
      <c r="DG130" s="1708"/>
      <c r="DH130" s="1708"/>
      <c r="DI130" s="1708"/>
      <c r="DJ130" s="1708"/>
      <c r="DK130" s="1708"/>
      <c r="DL130" s="1708"/>
      <c r="DM130" s="1708"/>
      <c r="DN130" s="1708"/>
      <c r="DO130" s="1708"/>
      <c r="DP130" s="1708"/>
      <c r="DQ130" s="1708"/>
      <c r="DR130" s="1708"/>
      <c r="DS130" s="1708"/>
      <c r="DT130" s="1708"/>
      <c r="DU130" s="1708"/>
      <c r="DV130" s="1708"/>
      <c r="DW130" s="1708"/>
      <c r="DX130" s="1708"/>
      <c r="DY130" s="1708"/>
      <c r="DZ130" s="1708"/>
      <c r="EA130" s="1708"/>
      <c r="EB130" s="1708"/>
      <c r="EC130" s="1708"/>
      <c r="ED130" s="1708"/>
      <c r="EE130" s="1708"/>
      <c r="EF130" s="1708"/>
      <c r="EG130" s="1708"/>
      <c r="EH130" s="1708"/>
      <c r="EI130" s="1708"/>
      <c r="EJ130" s="1708"/>
      <c r="EK130" s="1708"/>
      <c r="EL130" s="1708"/>
      <c r="EM130" s="1708"/>
      <c r="EN130" s="1708"/>
      <c r="EO130" s="1708"/>
      <c r="EP130" s="1708"/>
      <c r="EQ130" s="1708"/>
      <c r="ER130" s="1708"/>
      <c r="ES130" s="1708"/>
      <c r="ET130" s="1708"/>
      <c r="EU130" s="1708"/>
      <c r="EV130" s="1708"/>
      <c r="EW130" s="1708"/>
      <c r="EX130" s="1708"/>
      <c r="EY130" s="1708"/>
      <c r="EZ130" s="1708"/>
      <c r="FA130" s="1708"/>
      <c r="FB130" s="1708"/>
      <c r="FC130" s="1708"/>
      <c r="FD130" s="1708"/>
      <c r="FE130" s="1708"/>
      <c r="FF130" s="1708"/>
      <c r="FG130" s="1708"/>
      <c r="FH130" s="1708"/>
      <c r="FI130" s="1708"/>
      <c r="FJ130" s="1708"/>
      <c r="FK130" s="1708"/>
      <c r="FL130" s="1708"/>
      <c r="FM130" s="1708"/>
      <c r="FN130" s="1708"/>
      <c r="FO130" s="1708"/>
      <c r="FP130" s="1708"/>
      <c r="FQ130" s="1708"/>
      <c r="FR130" s="1708"/>
      <c r="FS130" s="1708"/>
      <c r="FT130" s="1708"/>
      <c r="FU130" s="1708"/>
      <c r="FV130" s="1708"/>
      <c r="FW130" s="1708"/>
      <c r="FX130" s="1708"/>
      <c r="FY130" s="1708"/>
      <c r="FZ130" s="1708"/>
      <c r="GA130" s="1708"/>
      <c r="GB130" s="1708"/>
      <c r="GC130" s="1708"/>
      <c r="GD130" s="1708"/>
      <c r="GE130" s="1708"/>
      <c r="GF130" s="1708"/>
      <c r="GG130" s="1708"/>
      <c r="GH130" s="1708"/>
      <c r="GI130" s="1708"/>
      <c r="GJ130" s="1708"/>
      <c r="GK130" s="1708"/>
      <c r="GL130" s="1708"/>
      <c r="GM130" s="1708"/>
      <c r="GN130" s="1708"/>
      <c r="GO130" s="1708"/>
      <c r="GP130" s="1708"/>
      <c r="GQ130" s="1708"/>
      <c r="GR130" s="1708"/>
      <c r="GS130" s="1708"/>
      <c r="GT130" s="1708"/>
      <c r="GU130" s="1708"/>
      <c r="GV130" s="1708"/>
      <c r="GW130" s="1708"/>
      <c r="GX130" s="1708"/>
      <c r="GY130" s="1708"/>
      <c r="GZ130" s="1708"/>
      <c r="HA130" s="1708"/>
      <c r="HB130" s="1708"/>
      <c r="HC130" s="1708"/>
      <c r="HD130" s="1708"/>
      <c r="HE130" s="1708"/>
      <c r="HF130" s="1708"/>
      <c r="HG130" s="1708"/>
      <c r="HH130" s="1708"/>
      <c r="HI130" s="1708"/>
      <c r="HJ130" s="1708"/>
      <c r="HK130" s="1708"/>
      <c r="HL130" s="1708"/>
      <c r="HM130" s="1708"/>
      <c r="HN130" s="1708"/>
      <c r="HO130" s="1708"/>
      <c r="HP130" s="1708"/>
      <c r="HQ130" s="1708"/>
      <c r="HR130" s="1708"/>
      <c r="HS130" s="1708"/>
      <c r="HT130" s="1708"/>
      <c r="HU130" s="1708"/>
      <c r="HV130" s="1708"/>
      <c r="HW130" s="1708"/>
      <c r="HX130" s="1708"/>
      <c r="HY130" s="1708"/>
      <c r="HZ130" s="1708"/>
      <c r="IA130" s="1708"/>
      <c r="IB130" s="1708"/>
      <c r="IC130" s="1708"/>
      <c r="ID130" s="1708"/>
      <c r="IE130" s="1708"/>
      <c r="IF130" s="1708"/>
      <c r="IG130" s="1708"/>
      <c r="IH130" s="1708"/>
      <c r="II130" s="1708"/>
      <c r="IJ130" s="1708"/>
      <c r="IK130" s="1708"/>
      <c r="IL130" s="1708"/>
      <c r="IM130" s="1708"/>
      <c r="IN130" s="1708"/>
      <c r="IO130" s="1708"/>
      <c r="IP130" s="1708"/>
      <c r="IQ130" s="1708"/>
      <c r="IR130" s="1708"/>
      <c r="IS130" s="1708"/>
      <c r="IT130" s="1708"/>
      <c r="IU130" s="1708"/>
      <c r="IV130" s="1708"/>
    </row>
    <row r="131" spans="1:256" s="78" customFormat="1" x14ac:dyDescent="0.25">
      <c r="B131" s="1851"/>
      <c r="C131" s="2513"/>
      <c r="D131" s="2514"/>
      <c r="E131" s="2514"/>
      <c r="F131" s="2514"/>
      <c r="G131" s="2514"/>
      <c r="H131" s="2514"/>
      <c r="I131" s="2514"/>
      <c r="J131" s="2515"/>
      <c r="K131" s="1852"/>
      <c r="N131" s="57"/>
      <c r="O131" s="57"/>
      <c r="P131" s="57"/>
      <c r="Q131" s="57"/>
      <c r="R131" s="57"/>
      <c r="S131" s="1708"/>
      <c r="T131" s="1708"/>
      <c r="U131" s="1708"/>
      <c r="V131" s="1708"/>
      <c r="W131" s="1708"/>
      <c r="X131" s="1708"/>
      <c r="Y131" s="1708"/>
      <c r="Z131" s="1708"/>
      <c r="AA131" s="1708"/>
      <c r="AB131" s="1708"/>
      <c r="AC131" s="1708"/>
      <c r="AD131" s="1708"/>
      <c r="AE131" s="1708"/>
      <c r="AF131" s="1708"/>
      <c r="AG131" s="1708"/>
      <c r="AH131" s="1708"/>
      <c r="AI131" s="1708"/>
      <c r="AJ131" s="1708"/>
      <c r="AK131" s="1708"/>
      <c r="AL131" s="1708"/>
      <c r="AM131" s="1708"/>
      <c r="AN131" s="1708"/>
      <c r="AO131" s="1708"/>
      <c r="AP131" s="1708"/>
      <c r="AQ131" s="1708"/>
      <c r="AR131" s="1708"/>
      <c r="AS131" s="1708"/>
      <c r="AT131" s="1708"/>
      <c r="AU131" s="1708"/>
      <c r="AV131" s="1708"/>
      <c r="AW131" s="1708"/>
      <c r="AX131" s="1708"/>
      <c r="AY131" s="1708"/>
      <c r="AZ131" s="1708"/>
      <c r="BA131" s="1708"/>
      <c r="BB131" s="1708"/>
      <c r="BC131" s="1708"/>
      <c r="BD131" s="1708"/>
      <c r="BE131" s="1708"/>
      <c r="BF131" s="1708"/>
      <c r="BG131" s="1708"/>
      <c r="BH131" s="1708"/>
      <c r="BI131" s="1708"/>
      <c r="BJ131" s="1708"/>
      <c r="BK131" s="1708"/>
      <c r="BL131" s="1708"/>
      <c r="BM131" s="1708"/>
      <c r="BN131" s="1708"/>
      <c r="BO131" s="1708"/>
      <c r="BP131" s="1708"/>
      <c r="BQ131" s="1708"/>
      <c r="BR131" s="1708"/>
      <c r="BS131" s="1708"/>
      <c r="BT131" s="1708"/>
      <c r="BU131" s="1708"/>
      <c r="BV131" s="1708"/>
      <c r="BW131" s="1708"/>
      <c r="BX131" s="1708"/>
      <c r="BY131" s="1708"/>
      <c r="BZ131" s="1708"/>
      <c r="CA131" s="1708"/>
      <c r="CB131" s="1708"/>
      <c r="CC131" s="1708"/>
      <c r="CD131" s="1708"/>
      <c r="CE131" s="1708"/>
      <c r="CF131" s="1708"/>
      <c r="CG131" s="1708"/>
      <c r="CH131" s="1708"/>
      <c r="CI131" s="1708"/>
      <c r="CJ131" s="1708"/>
      <c r="CK131" s="1708"/>
      <c r="CL131" s="1708"/>
      <c r="CM131" s="1708"/>
      <c r="CN131" s="1708"/>
      <c r="CO131" s="1708"/>
      <c r="CP131" s="1708"/>
      <c r="CQ131" s="1708"/>
      <c r="CR131" s="1708"/>
      <c r="CS131" s="1708"/>
      <c r="CT131" s="1708"/>
      <c r="CU131" s="1708"/>
      <c r="CV131" s="1708"/>
      <c r="CW131" s="1708"/>
      <c r="CX131" s="1708"/>
      <c r="CY131" s="1708"/>
      <c r="CZ131" s="1708"/>
      <c r="DA131" s="1708"/>
      <c r="DB131" s="1708"/>
      <c r="DC131" s="1708"/>
      <c r="DD131" s="1708"/>
      <c r="DE131" s="1708"/>
      <c r="DF131" s="1708"/>
      <c r="DG131" s="1708"/>
      <c r="DH131" s="1708"/>
      <c r="DI131" s="1708"/>
      <c r="DJ131" s="1708"/>
      <c r="DK131" s="1708"/>
      <c r="DL131" s="1708"/>
      <c r="DM131" s="1708"/>
      <c r="DN131" s="1708"/>
      <c r="DO131" s="1708"/>
      <c r="DP131" s="1708"/>
      <c r="DQ131" s="1708"/>
      <c r="DR131" s="1708"/>
      <c r="DS131" s="1708"/>
      <c r="DT131" s="1708"/>
      <c r="DU131" s="1708"/>
      <c r="DV131" s="1708"/>
      <c r="DW131" s="1708"/>
      <c r="DX131" s="1708"/>
      <c r="DY131" s="1708"/>
      <c r="DZ131" s="1708"/>
      <c r="EA131" s="1708"/>
      <c r="EB131" s="1708"/>
      <c r="EC131" s="1708"/>
      <c r="ED131" s="1708"/>
      <c r="EE131" s="1708"/>
      <c r="EF131" s="1708"/>
      <c r="EG131" s="1708"/>
      <c r="EH131" s="1708"/>
      <c r="EI131" s="1708"/>
      <c r="EJ131" s="1708"/>
      <c r="EK131" s="1708"/>
      <c r="EL131" s="1708"/>
      <c r="EM131" s="1708"/>
      <c r="EN131" s="1708"/>
      <c r="EO131" s="1708"/>
      <c r="EP131" s="1708"/>
      <c r="EQ131" s="1708"/>
      <c r="ER131" s="1708"/>
      <c r="ES131" s="1708"/>
      <c r="ET131" s="1708"/>
      <c r="EU131" s="1708"/>
      <c r="EV131" s="1708"/>
      <c r="EW131" s="1708"/>
      <c r="EX131" s="1708"/>
      <c r="EY131" s="1708"/>
      <c r="EZ131" s="1708"/>
      <c r="FA131" s="1708"/>
      <c r="FB131" s="1708"/>
      <c r="FC131" s="1708"/>
      <c r="FD131" s="1708"/>
      <c r="FE131" s="1708"/>
      <c r="FF131" s="1708"/>
      <c r="FG131" s="1708"/>
      <c r="FH131" s="1708"/>
      <c r="FI131" s="1708"/>
      <c r="FJ131" s="1708"/>
      <c r="FK131" s="1708"/>
      <c r="FL131" s="1708"/>
      <c r="FM131" s="1708"/>
      <c r="FN131" s="1708"/>
      <c r="FO131" s="1708"/>
      <c r="FP131" s="1708"/>
      <c r="FQ131" s="1708"/>
      <c r="FR131" s="1708"/>
      <c r="FS131" s="1708"/>
      <c r="FT131" s="1708"/>
      <c r="FU131" s="1708"/>
      <c r="FV131" s="1708"/>
      <c r="FW131" s="1708"/>
      <c r="FX131" s="1708"/>
      <c r="FY131" s="1708"/>
      <c r="FZ131" s="1708"/>
      <c r="GA131" s="1708"/>
      <c r="GB131" s="1708"/>
      <c r="GC131" s="1708"/>
      <c r="GD131" s="1708"/>
      <c r="GE131" s="1708"/>
      <c r="GF131" s="1708"/>
      <c r="GG131" s="1708"/>
      <c r="GH131" s="1708"/>
      <c r="GI131" s="1708"/>
      <c r="GJ131" s="1708"/>
      <c r="GK131" s="1708"/>
      <c r="GL131" s="1708"/>
      <c r="GM131" s="1708"/>
      <c r="GN131" s="1708"/>
      <c r="GO131" s="1708"/>
      <c r="GP131" s="1708"/>
      <c r="GQ131" s="1708"/>
      <c r="GR131" s="1708"/>
      <c r="GS131" s="1708"/>
      <c r="GT131" s="1708"/>
      <c r="GU131" s="1708"/>
      <c r="GV131" s="1708"/>
      <c r="GW131" s="1708"/>
      <c r="GX131" s="1708"/>
      <c r="GY131" s="1708"/>
      <c r="GZ131" s="1708"/>
      <c r="HA131" s="1708"/>
      <c r="HB131" s="1708"/>
      <c r="HC131" s="1708"/>
      <c r="HD131" s="1708"/>
      <c r="HE131" s="1708"/>
      <c r="HF131" s="1708"/>
      <c r="HG131" s="1708"/>
      <c r="HH131" s="1708"/>
      <c r="HI131" s="1708"/>
      <c r="HJ131" s="1708"/>
      <c r="HK131" s="1708"/>
      <c r="HL131" s="1708"/>
      <c r="HM131" s="1708"/>
      <c r="HN131" s="1708"/>
      <c r="HO131" s="1708"/>
      <c r="HP131" s="1708"/>
      <c r="HQ131" s="1708"/>
      <c r="HR131" s="1708"/>
      <c r="HS131" s="1708"/>
      <c r="HT131" s="1708"/>
      <c r="HU131" s="1708"/>
      <c r="HV131" s="1708"/>
      <c r="HW131" s="1708"/>
      <c r="HX131" s="1708"/>
      <c r="HY131" s="1708"/>
      <c r="HZ131" s="1708"/>
      <c r="IA131" s="1708"/>
      <c r="IB131" s="1708"/>
      <c r="IC131" s="1708"/>
      <c r="ID131" s="1708"/>
      <c r="IE131" s="1708"/>
      <c r="IF131" s="1708"/>
      <c r="IG131" s="1708"/>
      <c r="IH131" s="1708"/>
      <c r="II131" s="1708"/>
      <c r="IJ131" s="1708"/>
      <c r="IK131" s="1708"/>
      <c r="IL131" s="1708"/>
      <c r="IM131" s="1708"/>
      <c r="IN131" s="1708"/>
      <c r="IO131" s="1708"/>
      <c r="IP131" s="1708"/>
      <c r="IQ131" s="1708"/>
      <c r="IR131" s="1708"/>
      <c r="IS131" s="1708"/>
      <c r="IT131" s="1708"/>
      <c r="IU131" s="1708"/>
      <c r="IV131" s="1708"/>
    </row>
    <row r="132" spans="1:256" s="78" customFormat="1" x14ac:dyDescent="0.25">
      <c r="B132" s="1851"/>
      <c r="C132" s="205"/>
      <c r="D132" s="205"/>
      <c r="E132" s="205"/>
      <c r="F132" s="205"/>
      <c r="G132" s="531"/>
      <c r="H132" s="205"/>
      <c r="I132" s="205"/>
      <c r="J132" s="598"/>
      <c r="K132" s="1852"/>
      <c r="N132" s="57"/>
      <c r="O132" s="57"/>
      <c r="P132" s="57"/>
      <c r="Q132" s="57"/>
      <c r="R132" s="57"/>
      <c r="S132" s="1708"/>
      <c r="T132" s="1708"/>
      <c r="U132" s="1708"/>
      <c r="V132" s="1708"/>
      <c r="W132" s="1708"/>
      <c r="X132" s="1708"/>
      <c r="Y132" s="1708"/>
      <c r="Z132" s="1708"/>
      <c r="AA132" s="1708"/>
      <c r="AB132" s="1708"/>
      <c r="AC132" s="1708"/>
      <c r="AD132" s="1708"/>
      <c r="AE132" s="1708"/>
      <c r="AF132" s="1708"/>
      <c r="AG132" s="1708"/>
      <c r="AH132" s="1708"/>
      <c r="AI132" s="1708"/>
      <c r="AJ132" s="1708"/>
      <c r="AK132" s="1708"/>
      <c r="AL132" s="1708"/>
      <c r="AM132" s="1708"/>
      <c r="AN132" s="1708"/>
      <c r="AO132" s="1708"/>
      <c r="AP132" s="1708"/>
      <c r="AQ132" s="1708"/>
      <c r="AR132" s="1708"/>
      <c r="AS132" s="1708"/>
      <c r="AT132" s="1708"/>
      <c r="AU132" s="1708"/>
      <c r="AV132" s="1708"/>
      <c r="AW132" s="1708"/>
      <c r="AX132" s="1708"/>
      <c r="AY132" s="1708"/>
      <c r="AZ132" s="1708"/>
      <c r="BA132" s="1708"/>
      <c r="BB132" s="1708"/>
      <c r="BC132" s="1708"/>
      <c r="BD132" s="1708"/>
      <c r="BE132" s="1708"/>
      <c r="BF132" s="1708"/>
      <c r="BG132" s="1708"/>
      <c r="BH132" s="1708"/>
      <c r="BI132" s="1708"/>
      <c r="BJ132" s="1708"/>
      <c r="BK132" s="1708"/>
      <c r="BL132" s="1708"/>
      <c r="BM132" s="1708"/>
      <c r="BN132" s="1708"/>
      <c r="BO132" s="1708"/>
      <c r="BP132" s="1708"/>
      <c r="BQ132" s="1708"/>
      <c r="BR132" s="1708"/>
      <c r="BS132" s="1708"/>
      <c r="BT132" s="1708"/>
      <c r="BU132" s="1708"/>
      <c r="BV132" s="1708"/>
      <c r="BW132" s="1708"/>
      <c r="BX132" s="1708"/>
      <c r="BY132" s="1708"/>
      <c r="BZ132" s="1708"/>
      <c r="CA132" s="1708"/>
      <c r="CB132" s="1708"/>
      <c r="CC132" s="1708"/>
      <c r="CD132" s="1708"/>
      <c r="CE132" s="1708"/>
      <c r="CF132" s="1708"/>
      <c r="CG132" s="1708"/>
      <c r="CH132" s="1708"/>
      <c r="CI132" s="1708"/>
      <c r="CJ132" s="1708"/>
      <c r="CK132" s="1708"/>
      <c r="CL132" s="1708"/>
      <c r="CM132" s="1708"/>
      <c r="CN132" s="1708"/>
      <c r="CO132" s="1708"/>
      <c r="CP132" s="1708"/>
      <c r="CQ132" s="1708"/>
      <c r="CR132" s="1708"/>
      <c r="CS132" s="1708"/>
      <c r="CT132" s="1708"/>
      <c r="CU132" s="1708"/>
      <c r="CV132" s="1708"/>
      <c r="CW132" s="1708"/>
      <c r="CX132" s="1708"/>
      <c r="CY132" s="1708"/>
      <c r="CZ132" s="1708"/>
      <c r="DA132" s="1708"/>
      <c r="DB132" s="1708"/>
      <c r="DC132" s="1708"/>
      <c r="DD132" s="1708"/>
      <c r="DE132" s="1708"/>
      <c r="DF132" s="1708"/>
      <c r="DG132" s="1708"/>
      <c r="DH132" s="1708"/>
      <c r="DI132" s="1708"/>
      <c r="DJ132" s="1708"/>
      <c r="DK132" s="1708"/>
      <c r="DL132" s="1708"/>
      <c r="DM132" s="1708"/>
      <c r="DN132" s="1708"/>
      <c r="DO132" s="1708"/>
      <c r="DP132" s="1708"/>
      <c r="DQ132" s="1708"/>
      <c r="DR132" s="1708"/>
      <c r="DS132" s="1708"/>
      <c r="DT132" s="1708"/>
      <c r="DU132" s="1708"/>
      <c r="DV132" s="1708"/>
      <c r="DW132" s="1708"/>
      <c r="DX132" s="1708"/>
      <c r="DY132" s="1708"/>
      <c r="DZ132" s="1708"/>
      <c r="EA132" s="1708"/>
      <c r="EB132" s="1708"/>
      <c r="EC132" s="1708"/>
      <c r="ED132" s="1708"/>
      <c r="EE132" s="1708"/>
      <c r="EF132" s="1708"/>
      <c r="EG132" s="1708"/>
      <c r="EH132" s="1708"/>
      <c r="EI132" s="1708"/>
      <c r="EJ132" s="1708"/>
      <c r="EK132" s="1708"/>
      <c r="EL132" s="1708"/>
      <c r="EM132" s="1708"/>
      <c r="EN132" s="1708"/>
      <c r="EO132" s="1708"/>
      <c r="EP132" s="1708"/>
      <c r="EQ132" s="1708"/>
      <c r="ER132" s="1708"/>
      <c r="ES132" s="1708"/>
      <c r="ET132" s="1708"/>
      <c r="EU132" s="1708"/>
      <c r="EV132" s="1708"/>
      <c r="EW132" s="1708"/>
      <c r="EX132" s="1708"/>
      <c r="EY132" s="1708"/>
      <c r="EZ132" s="1708"/>
      <c r="FA132" s="1708"/>
      <c r="FB132" s="1708"/>
      <c r="FC132" s="1708"/>
      <c r="FD132" s="1708"/>
      <c r="FE132" s="1708"/>
      <c r="FF132" s="1708"/>
      <c r="FG132" s="1708"/>
      <c r="FH132" s="1708"/>
      <c r="FI132" s="1708"/>
      <c r="FJ132" s="1708"/>
      <c r="FK132" s="1708"/>
      <c r="FL132" s="1708"/>
      <c r="FM132" s="1708"/>
      <c r="FN132" s="1708"/>
      <c r="FO132" s="1708"/>
      <c r="FP132" s="1708"/>
      <c r="FQ132" s="1708"/>
      <c r="FR132" s="1708"/>
      <c r="FS132" s="1708"/>
      <c r="FT132" s="1708"/>
      <c r="FU132" s="1708"/>
      <c r="FV132" s="1708"/>
      <c r="FW132" s="1708"/>
      <c r="FX132" s="1708"/>
      <c r="FY132" s="1708"/>
      <c r="FZ132" s="1708"/>
      <c r="GA132" s="1708"/>
      <c r="GB132" s="1708"/>
      <c r="GC132" s="1708"/>
      <c r="GD132" s="1708"/>
      <c r="GE132" s="1708"/>
      <c r="GF132" s="1708"/>
      <c r="GG132" s="1708"/>
      <c r="GH132" s="1708"/>
      <c r="GI132" s="1708"/>
      <c r="GJ132" s="1708"/>
      <c r="GK132" s="1708"/>
      <c r="GL132" s="1708"/>
      <c r="GM132" s="1708"/>
      <c r="GN132" s="1708"/>
      <c r="GO132" s="1708"/>
      <c r="GP132" s="1708"/>
      <c r="GQ132" s="1708"/>
      <c r="GR132" s="1708"/>
      <c r="GS132" s="1708"/>
      <c r="GT132" s="1708"/>
      <c r="GU132" s="1708"/>
      <c r="GV132" s="1708"/>
      <c r="GW132" s="1708"/>
      <c r="GX132" s="1708"/>
      <c r="GY132" s="1708"/>
      <c r="GZ132" s="1708"/>
      <c r="HA132" s="1708"/>
      <c r="HB132" s="1708"/>
      <c r="HC132" s="1708"/>
      <c r="HD132" s="1708"/>
      <c r="HE132" s="1708"/>
      <c r="HF132" s="1708"/>
      <c r="HG132" s="1708"/>
      <c r="HH132" s="1708"/>
      <c r="HI132" s="1708"/>
      <c r="HJ132" s="1708"/>
      <c r="HK132" s="1708"/>
      <c r="HL132" s="1708"/>
      <c r="HM132" s="1708"/>
      <c r="HN132" s="1708"/>
      <c r="HO132" s="1708"/>
      <c r="HP132" s="1708"/>
      <c r="HQ132" s="1708"/>
      <c r="HR132" s="1708"/>
      <c r="HS132" s="1708"/>
      <c r="HT132" s="1708"/>
      <c r="HU132" s="1708"/>
      <c r="HV132" s="1708"/>
      <c r="HW132" s="1708"/>
      <c r="HX132" s="1708"/>
      <c r="HY132" s="1708"/>
      <c r="HZ132" s="1708"/>
      <c r="IA132" s="1708"/>
      <c r="IB132" s="1708"/>
      <c r="IC132" s="1708"/>
      <c r="ID132" s="1708"/>
      <c r="IE132" s="1708"/>
      <c r="IF132" s="1708"/>
      <c r="IG132" s="1708"/>
      <c r="IH132" s="1708"/>
      <c r="II132" s="1708"/>
      <c r="IJ132" s="1708"/>
      <c r="IK132" s="1708"/>
      <c r="IL132" s="1708"/>
      <c r="IM132" s="1708"/>
      <c r="IN132" s="1708"/>
      <c r="IO132" s="1708"/>
      <c r="IP132" s="1708"/>
      <c r="IQ132" s="1708"/>
      <c r="IR132" s="1708"/>
      <c r="IS132" s="1708"/>
      <c r="IT132" s="1708"/>
      <c r="IU132" s="1708"/>
      <c r="IV132" s="1708"/>
    </row>
    <row r="133" spans="1:256" s="78" customFormat="1" x14ac:dyDescent="0.25">
      <c r="B133" s="1853"/>
      <c r="C133" s="1854"/>
      <c r="D133" s="1854"/>
      <c r="E133" s="1854"/>
      <c r="F133" s="1854"/>
      <c r="G133" s="1855"/>
      <c r="H133" s="1854"/>
      <c r="I133" s="1854"/>
      <c r="J133" s="1856"/>
      <c r="K133" s="1857"/>
      <c r="N133" s="57"/>
      <c r="O133" s="57"/>
      <c r="P133" s="57"/>
      <c r="Q133" s="57"/>
      <c r="R133" s="57"/>
      <c r="S133" s="1708"/>
      <c r="T133" s="1708"/>
      <c r="U133" s="1708"/>
      <c r="V133" s="1708"/>
      <c r="W133" s="1708"/>
      <c r="X133" s="1708"/>
      <c r="Y133" s="1708"/>
      <c r="Z133" s="1708"/>
      <c r="AA133" s="1708"/>
      <c r="AB133" s="1708"/>
      <c r="AC133" s="1708"/>
      <c r="AD133" s="1708"/>
      <c r="AE133" s="1708"/>
      <c r="AF133" s="1708"/>
      <c r="AG133" s="1708"/>
      <c r="AH133" s="1708"/>
      <c r="AI133" s="1708"/>
      <c r="AJ133" s="1708"/>
      <c r="AK133" s="1708"/>
      <c r="AL133" s="1708"/>
      <c r="AM133" s="1708"/>
      <c r="AN133" s="1708"/>
      <c r="AO133" s="1708"/>
      <c r="AP133" s="1708"/>
      <c r="AQ133" s="1708"/>
      <c r="AR133" s="1708"/>
      <c r="AS133" s="1708"/>
      <c r="AT133" s="1708"/>
      <c r="AU133" s="1708"/>
      <c r="AV133" s="1708"/>
      <c r="AW133" s="1708"/>
      <c r="AX133" s="1708"/>
      <c r="AY133" s="1708"/>
      <c r="AZ133" s="1708"/>
      <c r="BA133" s="1708"/>
      <c r="BB133" s="1708"/>
      <c r="BC133" s="1708"/>
      <c r="BD133" s="1708"/>
      <c r="BE133" s="1708"/>
      <c r="BF133" s="1708"/>
      <c r="BG133" s="1708"/>
      <c r="BH133" s="1708"/>
      <c r="BI133" s="1708"/>
      <c r="BJ133" s="1708"/>
      <c r="BK133" s="1708"/>
      <c r="BL133" s="1708"/>
      <c r="BM133" s="1708"/>
      <c r="BN133" s="1708"/>
      <c r="BO133" s="1708"/>
      <c r="BP133" s="1708"/>
      <c r="BQ133" s="1708"/>
      <c r="BR133" s="1708"/>
      <c r="BS133" s="1708"/>
      <c r="BT133" s="1708"/>
      <c r="BU133" s="1708"/>
      <c r="BV133" s="1708"/>
      <c r="BW133" s="1708"/>
      <c r="BX133" s="1708"/>
      <c r="BY133" s="1708"/>
      <c r="BZ133" s="1708"/>
      <c r="CA133" s="1708"/>
      <c r="CB133" s="1708"/>
      <c r="CC133" s="1708"/>
      <c r="CD133" s="1708"/>
      <c r="CE133" s="1708"/>
      <c r="CF133" s="1708"/>
      <c r="CG133" s="1708"/>
      <c r="CH133" s="1708"/>
      <c r="CI133" s="1708"/>
      <c r="CJ133" s="1708"/>
      <c r="CK133" s="1708"/>
      <c r="CL133" s="1708"/>
      <c r="CM133" s="1708"/>
      <c r="CN133" s="1708"/>
      <c r="CO133" s="1708"/>
      <c r="CP133" s="1708"/>
      <c r="CQ133" s="1708"/>
      <c r="CR133" s="1708"/>
      <c r="CS133" s="1708"/>
      <c r="CT133" s="1708"/>
      <c r="CU133" s="1708"/>
      <c r="CV133" s="1708"/>
      <c r="CW133" s="1708"/>
      <c r="CX133" s="1708"/>
      <c r="CY133" s="1708"/>
      <c r="CZ133" s="1708"/>
      <c r="DA133" s="1708"/>
      <c r="DB133" s="1708"/>
      <c r="DC133" s="1708"/>
      <c r="DD133" s="1708"/>
      <c r="DE133" s="1708"/>
      <c r="DF133" s="1708"/>
      <c r="DG133" s="1708"/>
      <c r="DH133" s="1708"/>
      <c r="DI133" s="1708"/>
      <c r="DJ133" s="1708"/>
      <c r="DK133" s="1708"/>
      <c r="DL133" s="1708"/>
      <c r="DM133" s="1708"/>
      <c r="DN133" s="1708"/>
      <c r="DO133" s="1708"/>
      <c r="DP133" s="1708"/>
      <c r="DQ133" s="1708"/>
      <c r="DR133" s="1708"/>
      <c r="DS133" s="1708"/>
      <c r="DT133" s="1708"/>
      <c r="DU133" s="1708"/>
      <c r="DV133" s="1708"/>
      <c r="DW133" s="1708"/>
      <c r="DX133" s="1708"/>
      <c r="DY133" s="1708"/>
      <c r="DZ133" s="1708"/>
      <c r="EA133" s="1708"/>
      <c r="EB133" s="1708"/>
      <c r="EC133" s="1708"/>
      <c r="ED133" s="1708"/>
      <c r="EE133" s="1708"/>
      <c r="EF133" s="1708"/>
      <c r="EG133" s="1708"/>
      <c r="EH133" s="1708"/>
      <c r="EI133" s="1708"/>
      <c r="EJ133" s="1708"/>
      <c r="EK133" s="1708"/>
      <c r="EL133" s="1708"/>
      <c r="EM133" s="1708"/>
      <c r="EN133" s="1708"/>
      <c r="EO133" s="1708"/>
      <c r="EP133" s="1708"/>
      <c r="EQ133" s="1708"/>
      <c r="ER133" s="1708"/>
      <c r="ES133" s="1708"/>
      <c r="ET133" s="1708"/>
      <c r="EU133" s="1708"/>
      <c r="EV133" s="1708"/>
      <c r="EW133" s="1708"/>
      <c r="EX133" s="1708"/>
      <c r="EY133" s="1708"/>
      <c r="EZ133" s="1708"/>
      <c r="FA133" s="1708"/>
      <c r="FB133" s="1708"/>
      <c r="FC133" s="1708"/>
      <c r="FD133" s="1708"/>
      <c r="FE133" s="1708"/>
      <c r="FF133" s="1708"/>
      <c r="FG133" s="1708"/>
      <c r="FH133" s="1708"/>
      <c r="FI133" s="1708"/>
      <c r="FJ133" s="1708"/>
      <c r="FK133" s="1708"/>
      <c r="FL133" s="1708"/>
      <c r="FM133" s="1708"/>
      <c r="FN133" s="1708"/>
      <c r="FO133" s="1708"/>
      <c r="FP133" s="1708"/>
      <c r="FQ133" s="1708"/>
      <c r="FR133" s="1708"/>
      <c r="FS133" s="1708"/>
      <c r="FT133" s="1708"/>
      <c r="FU133" s="1708"/>
      <c r="FV133" s="1708"/>
      <c r="FW133" s="1708"/>
      <c r="FX133" s="1708"/>
      <c r="FY133" s="1708"/>
      <c r="FZ133" s="1708"/>
      <c r="GA133" s="1708"/>
      <c r="GB133" s="1708"/>
      <c r="GC133" s="1708"/>
      <c r="GD133" s="1708"/>
      <c r="GE133" s="1708"/>
      <c r="GF133" s="1708"/>
      <c r="GG133" s="1708"/>
      <c r="GH133" s="1708"/>
      <c r="GI133" s="1708"/>
      <c r="GJ133" s="1708"/>
      <c r="GK133" s="1708"/>
      <c r="GL133" s="1708"/>
      <c r="GM133" s="1708"/>
      <c r="GN133" s="1708"/>
      <c r="GO133" s="1708"/>
      <c r="GP133" s="1708"/>
      <c r="GQ133" s="1708"/>
      <c r="GR133" s="1708"/>
      <c r="GS133" s="1708"/>
      <c r="GT133" s="1708"/>
      <c r="GU133" s="1708"/>
      <c r="GV133" s="1708"/>
      <c r="GW133" s="1708"/>
      <c r="GX133" s="1708"/>
      <c r="GY133" s="1708"/>
      <c r="GZ133" s="1708"/>
      <c r="HA133" s="1708"/>
      <c r="HB133" s="1708"/>
      <c r="HC133" s="1708"/>
      <c r="HD133" s="1708"/>
      <c r="HE133" s="1708"/>
      <c r="HF133" s="1708"/>
      <c r="HG133" s="1708"/>
      <c r="HH133" s="1708"/>
      <c r="HI133" s="1708"/>
      <c r="HJ133" s="1708"/>
      <c r="HK133" s="1708"/>
      <c r="HL133" s="1708"/>
      <c r="HM133" s="1708"/>
      <c r="HN133" s="1708"/>
      <c r="HO133" s="1708"/>
      <c r="HP133" s="1708"/>
      <c r="HQ133" s="1708"/>
      <c r="HR133" s="1708"/>
      <c r="HS133" s="1708"/>
      <c r="HT133" s="1708"/>
      <c r="HU133" s="1708"/>
      <c r="HV133" s="1708"/>
      <c r="HW133" s="1708"/>
      <c r="HX133" s="1708"/>
      <c r="HY133" s="1708"/>
      <c r="HZ133" s="1708"/>
      <c r="IA133" s="1708"/>
      <c r="IB133" s="1708"/>
      <c r="IC133" s="1708"/>
      <c r="ID133" s="1708"/>
      <c r="IE133" s="1708"/>
      <c r="IF133" s="1708"/>
      <c r="IG133" s="1708"/>
      <c r="IH133" s="1708"/>
      <c r="II133" s="1708"/>
      <c r="IJ133" s="1708"/>
      <c r="IK133" s="1708"/>
      <c r="IL133" s="1708"/>
      <c r="IM133" s="1708"/>
      <c r="IN133" s="1708"/>
      <c r="IO133" s="1708"/>
      <c r="IP133" s="1708"/>
      <c r="IQ133" s="1708"/>
      <c r="IR133" s="1708"/>
      <c r="IS133" s="1708"/>
      <c r="IT133" s="1708"/>
      <c r="IU133" s="1708"/>
      <c r="IV133" s="1708"/>
    </row>
    <row r="134" spans="1:256" s="78" customFormat="1" x14ac:dyDescent="0.25">
      <c r="B134" s="468"/>
      <c r="G134" s="79"/>
      <c r="J134" s="553"/>
      <c r="K134" s="553"/>
      <c r="N134" s="57"/>
      <c r="O134" s="57"/>
      <c r="P134" s="57"/>
      <c r="Q134" s="57"/>
      <c r="R134" s="57"/>
      <c r="S134" s="1708"/>
      <c r="T134" s="1708"/>
      <c r="U134" s="1708"/>
      <c r="V134" s="1708"/>
      <c r="W134" s="1708"/>
      <c r="X134" s="1708"/>
      <c r="Y134" s="1708"/>
      <c r="Z134" s="1708"/>
      <c r="AA134" s="1708"/>
      <c r="AB134" s="1708"/>
      <c r="AC134" s="1708"/>
      <c r="AD134" s="1708"/>
      <c r="AE134" s="1708"/>
      <c r="AF134" s="1708"/>
      <c r="AG134" s="1708"/>
      <c r="AH134" s="1708"/>
      <c r="AI134" s="1708"/>
      <c r="AJ134" s="1708"/>
      <c r="AK134" s="1708"/>
      <c r="AL134" s="1708"/>
      <c r="AM134" s="1708"/>
      <c r="AN134" s="1708"/>
      <c r="AO134" s="1708"/>
      <c r="AP134" s="1708"/>
      <c r="AQ134" s="1708"/>
      <c r="AR134" s="1708"/>
      <c r="AS134" s="1708"/>
      <c r="AT134" s="1708"/>
      <c r="AU134" s="1708"/>
      <c r="AV134" s="1708"/>
      <c r="AW134" s="1708"/>
      <c r="AX134" s="1708"/>
      <c r="AY134" s="1708"/>
      <c r="AZ134" s="1708"/>
      <c r="BA134" s="1708"/>
      <c r="BB134" s="1708"/>
      <c r="BC134" s="1708"/>
      <c r="BD134" s="1708"/>
      <c r="BE134" s="1708"/>
      <c r="BF134" s="1708"/>
      <c r="BG134" s="1708"/>
      <c r="BH134" s="1708"/>
      <c r="BI134" s="1708"/>
      <c r="BJ134" s="1708"/>
      <c r="BK134" s="1708"/>
      <c r="BL134" s="1708"/>
      <c r="BM134" s="1708"/>
      <c r="BN134" s="1708"/>
      <c r="BO134" s="1708"/>
      <c r="BP134" s="1708"/>
      <c r="BQ134" s="1708"/>
      <c r="BR134" s="1708"/>
      <c r="BS134" s="1708"/>
      <c r="BT134" s="1708"/>
      <c r="BU134" s="1708"/>
      <c r="BV134" s="1708"/>
      <c r="BW134" s="1708"/>
      <c r="BX134" s="1708"/>
      <c r="BY134" s="1708"/>
      <c r="BZ134" s="1708"/>
      <c r="CA134" s="1708"/>
      <c r="CB134" s="1708"/>
      <c r="CC134" s="1708"/>
      <c r="CD134" s="1708"/>
      <c r="CE134" s="1708"/>
      <c r="CF134" s="1708"/>
      <c r="CG134" s="1708"/>
      <c r="CH134" s="1708"/>
      <c r="CI134" s="1708"/>
      <c r="CJ134" s="1708"/>
      <c r="CK134" s="1708"/>
      <c r="CL134" s="1708"/>
      <c r="CM134" s="1708"/>
      <c r="CN134" s="1708"/>
      <c r="CO134" s="1708"/>
      <c r="CP134" s="1708"/>
      <c r="CQ134" s="1708"/>
      <c r="CR134" s="1708"/>
      <c r="CS134" s="1708"/>
      <c r="CT134" s="1708"/>
      <c r="CU134" s="1708"/>
      <c r="CV134" s="1708"/>
      <c r="CW134" s="1708"/>
      <c r="CX134" s="1708"/>
      <c r="CY134" s="1708"/>
      <c r="CZ134" s="1708"/>
      <c r="DA134" s="1708"/>
      <c r="DB134" s="1708"/>
      <c r="DC134" s="1708"/>
      <c r="DD134" s="1708"/>
      <c r="DE134" s="1708"/>
      <c r="DF134" s="1708"/>
      <c r="DG134" s="1708"/>
      <c r="DH134" s="1708"/>
      <c r="DI134" s="1708"/>
      <c r="DJ134" s="1708"/>
      <c r="DK134" s="1708"/>
      <c r="DL134" s="1708"/>
      <c r="DM134" s="1708"/>
      <c r="DN134" s="1708"/>
      <c r="DO134" s="1708"/>
      <c r="DP134" s="1708"/>
      <c r="DQ134" s="1708"/>
      <c r="DR134" s="1708"/>
      <c r="DS134" s="1708"/>
      <c r="DT134" s="1708"/>
      <c r="DU134" s="1708"/>
      <c r="DV134" s="1708"/>
      <c r="DW134" s="1708"/>
      <c r="DX134" s="1708"/>
      <c r="DY134" s="1708"/>
      <c r="DZ134" s="1708"/>
      <c r="EA134" s="1708"/>
      <c r="EB134" s="1708"/>
      <c r="EC134" s="1708"/>
      <c r="ED134" s="1708"/>
      <c r="EE134" s="1708"/>
      <c r="EF134" s="1708"/>
      <c r="EG134" s="1708"/>
      <c r="EH134" s="1708"/>
      <c r="EI134" s="1708"/>
      <c r="EJ134" s="1708"/>
      <c r="EK134" s="1708"/>
      <c r="EL134" s="1708"/>
      <c r="EM134" s="1708"/>
      <c r="EN134" s="1708"/>
      <c r="EO134" s="1708"/>
      <c r="EP134" s="1708"/>
      <c r="EQ134" s="1708"/>
      <c r="ER134" s="1708"/>
      <c r="ES134" s="1708"/>
      <c r="ET134" s="1708"/>
      <c r="EU134" s="1708"/>
      <c r="EV134" s="1708"/>
      <c r="EW134" s="1708"/>
      <c r="EX134" s="1708"/>
      <c r="EY134" s="1708"/>
      <c r="EZ134" s="1708"/>
      <c r="FA134" s="1708"/>
      <c r="FB134" s="1708"/>
      <c r="FC134" s="1708"/>
      <c r="FD134" s="1708"/>
      <c r="FE134" s="1708"/>
      <c r="FF134" s="1708"/>
      <c r="FG134" s="1708"/>
      <c r="FH134" s="1708"/>
      <c r="FI134" s="1708"/>
      <c r="FJ134" s="1708"/>
      <c r="FK134" s="1708"/>
      <c r="FL134" s="1708"/>
      <c r="FM134" s="1708"/>
      <c r="FN134" s="1708"/>
      <c r="FO134" s="1708"/>
      <c r="FP134" s="1708"/>
      <c r="FQ134" s="1708"/>
      <c r="FR134" s="1708"/>
      <c r="FS134" s="1708"/>
      <c r="FT134" s="1708"/>
      <c r="FU134" s="1708"/>
      <c r="FV134" s="1708"/>
      <c r="FW134" s="1708"/>
      <c r="FX134" s="1708"/>
      <c r="FY134" s="1708"/>
      <c r="FZ134" s="1708"/>
      <c r="GA134" s="1708"/>
      <c r="GB134" s="1708"/>
      <c r="GC134" s="1708"/>
      <c r="GD134" s="1708"/>
      <c r="GE134" s="1708"/>
      <c r="GF134" s="1708"/>
      <c r="GG134" s="1708"/>
      <c r="GH134" s="1708"/>
      <c r="GI134" s="1708"/>
      <c r="GJ134" s="1708"/>
      <c r="GK134" s="1708"/>
      <c r="GL134" s="1708"/>
      <c r="GM134" s="1708"/>
      <c r="GN134" s="1708"/>
      <c r="GO134" s="1708"/>
      <c r="GP134" s="1708"/>
      <c r="GQ134" s="1708"/>
      <c r="GR134" s="1708"/>
      <c r="GS134" s="1708"/>
      <c r="GT134" s="1708"/>
      <c r="GU134" s="1708"/>
      <c r="GV134" s="1708"/>
      <c r="GW134" s="1708"/>
      <c r="GX134" s="1708"/>
      <c r="GY134" s="1708"/>
      <c r="GZ134" s="1708"/>
      <c r="HA134" s="1708"/>
      <c r="HB134" s="1708"/>
      <c r="HC134" s="1708"/>
      <c r="HD134" s="1708"/>
      <c r="HE134" s="1708"/>
      <c r="HF134" s="1708"/>
      <c r="HG134" s="1708"/>
      <c r="HH134" s="1708"/>
      <c r="HI134" s="1708"/>
      <c r="HJ134" s="1708"/>
      <c r="HK134" s="1708"/>
      <c r="HL134" s="1708"/>
      <c r="HM134" s="1708"/>
      <c r="HN134" s="1708"/>
      <c r="HO134" s="1708"/>
      <c r="HP134" s="1708"/>
      <c r="HQ134" s="1708"/>
      <c r="HR134" s="1708"/>
      <c r="HS134" s="1708"/>
      <c r="HT134" s="1708"/>
      <c r="HU134" s="1708"/>
      <c r="HV134" s="1708"/>
      <c r="HW134" s="1708"/>
      <c r="HX134" s="1708"/>
      <c r="HY134" s="1708"/>
      <c r="HZ134" s="1708"/>
      <c r="IA134" s="1708"/>
      <c r="IB134" s="1708"/>
      <c r="IC134" s="1708"/>
      <c r="ID134" s="1708"/>
      <c r="IE134" s="1708"/>
      <c r="IF134" s="1708"/>
      <c r="IG134" s="1708"/>
      <c r="IH134" s="1708"/>
      <c r="II134" s="1708"/>
      <c r="IJ134" s="1708"/>
      <c r="IK134" s="1708"/>
      <c r="IL134" s="1708"/>
      <c r="IM134" s="1708"/>
      <c r="IN134" s="1708"/>
      <c r="IO134" s="1708"/>
      <c r="IP134" s="1708"/>
      <c r="IQ134" s="1708"/>
      <c r="IR134" s="1708"/>
      <c r="IS134" s="1708"/>
      <c r="IT134" s="1708"/>
      <c r="IU134" s="1708"/>
      <c r="IV134" s="1708"/>
    </row>
    <row r="135" spans="1:256" s="78" customFormat="1" x14ac:dyDescent="0.25">
      <c r="B135" s="468"/>
      <c r="G135" s="79"/>
      <c r="J135" s="553"/>
      <c r="K135" s="553"/>
      <c r="N135" s="57"/>
      <c r="O135" s="57"/>
      <c r="P135" s="57"/>
      <c r="Q135" s="57"/>
      <c r="R135" s="57"/>
      <c r="S135" s="1708"/>
      <c r="T135" s="1708"/>
      <c r="U135" s="1708"/>
      <c r="V135" s="1708"/>
      <c r="W135" s="1708"/>
      <c r="X135" s="1708"/>
      <c r="Y135" s="1708"/>
      <c r="Z135" s="1708"/>
      <c r="AA135" s="1708"/>
      <c r="AB135" s="1708"/>
      <c r="AC135" s="1708"/>
      <c r="AD135" s="1708"/>
      <c r="AE135" s="1708"/>
      <c r="AF135" s="1708"/>
      <c r="AG135" s="1708"/>
      <c r="AH135" s="1708"/>
      <c r="AI135" s="1708"/>
      <c r="AJ135" s="1708"/>
      <c r="AK135" s="1708"/>
      <c r="AL135" s="1708"/>
      <c r="AM135" s="1708"/>
      <c r="AN135" s="1708"/>
      <c r="AO135" s="1708"/>
      <c r="AP135" s="1708"/>
      <c r="AQ135" s="1708"/>
      <c r="AR135" s="1708"/>
      <c r="AS135" s="1708"/>
      <c r="AT135" s="1708"/>
      <c r="AU135" s="1708"/>
      <c r="AV135" s="1708"/>
      <c r="AW135" s="1708"/>
      <c r="AX135" s="1708"/>
      <c r="AY135" s="1708"/>
      <c r="AZ135" s="1708"/>
      <c r="BA135" s="1708"/>
      <c r="BB135" s="1708"/>
      <c r="BC135" s="1708"/>
      <c r="BD135" s="1708"/>
      <c r="BE135" s="1708"/>
      <c r="BF135" s="1708"/>
      <c r="BG135" s="1708"/>
      <c r="BH135" s="1708"/>
      <c r="BI135" s="1708"/>
      <c r="BJ135" s="1708"/>
      <c r="BK135" s="1708"/>
      <c r="BL135" s="1708"/>
      <c r="BM135" s="1708"/>
      <c r="BN135" s="1708"/>
      <c r="BO135" s="1708"/>
      <c r="BP135" s="1708"/>
      <c r="BQ135" s="1708"/>
      <c r="BR135" s="1708"/>
      <c r="BS135" s="1708"/>
      <c r="BT135" s="1708"/>
      <c r="BU135" s="1708"/>
      <c r="BV135" s="1708"/>
      <c r="BW135" s="1708"/>
      <c r="BX135" s="1708"/>
      <c r="BY135" s="1708"/>
      <c r="BZ135" s="1708"/>
      <c r="CA135" s="1708"/>
      <c r="CB135" s="1708"/>
      <c r="CC135" s="1708"/>
      <c r="CD135" s="1708"/>
      <c r="CE135" s="1708"/>
      <c r="CF135" s="1708"/>
      <c r="CG135" s="1708"/>
      <c r="CH135" s="1708"/>
      <c r="CI135" s="1708"/>
      <c r="CJ135" s="1708"/>
      <c r="CK135" s="1708"/>
      <c r="CL135" s="1708"/>
      <c r="CM135" s="1708"/>
      <c r="CN135" s="1708"/>
      <c r="CO135" s="1708"/>
      <c r="CP135" s="1708"/>
      <c r="CQ135" s="1708"/>
      <c r="CR135" s="1708"/>
      <c r="CS135" s="1708"/>
      <c r="CT135" s="1708"/>
      <c r="CU135" s="1708"/>
      <c r="CV135" s="1708"/>
      <c r="CW135" s="1708"/>
      <c r="CX135" s="1708"/>
      <c r="CY135" s="1708"/>
      <c r="CZ135" s="1708"/>
      <c r="DA135" s="1708"/>
      <c r="DB135" s="1708"/>
      <c r="DC135" s="1708"/>
      <c r="DD135" s="1708"/>
      <c r="DE135" s="1708"/>
      <c r="DF135" s="1708"/>
      <c r="DG135" s="1708"/>
      <c r="DH135" s="1708"/>
      <c r="DI135" s="1708"/>
      <c r="DJ135" s="1708"/>
      <c r="DK135" s="1708"/>
      <c r="DL135" s="1708"/>
      <c r="DM135" s="1708"/>
      <c r="DN135" s="1708"/>
      <c r="DO135" s="1708"/>
      <c r="DP135" s="1708"/>
      <c r="DQ135" s="1708"/>
      <c r="DR135" s="1708"/>
      <c r="DS135" s="1708"/>
      <c r="DT135" s="1708"/>
      <c r="DU135" s="1708"/>
      <c r="DV135" s="1708"/>
      <c r="DW135" s="1708"/>
      <c r="DX135" s="1708"/>
      <c r="DY135" s="1708"/>
      <c r="DZ135" s="1708"/>
      <c r="EA135" s="1708"/>
      <c r="EB135" s="1708"/>
      <c r="EC135" s="1708"/>
      <c r="ED135" s="1708"/>
      <c r="EE135" s="1708"/>
      <c r="EF135" s="1708"/>
      <c r="EG135" s="1708"/>
      <c r="EH135" s="1708"/>
      <c r="EI135" s="1708"/>
      <c r="EJ135" s="1708"/>
      <c r="EK135" s="1708"/>
      <c r="EL135" s="1708"/>
      <c r="EM135" s="1708"/>
      <c r="EN135" s="1708"/>
      <c r="EO135" s="1708"/>
      <c r="EP135" s="1708"/>
      <c r="EQ135" s="1708"/>
      <c r="ER135" s="1708"/>
      <c r="ES135" s="1708"/>
      <c r="ET135" s="1708"/>
      <c r="EU135" s="1708"/>
      <c r="EV135" s="1708"/>
      <c r="EW135" s="1708"/>
      <c r="EX135" s="1708"/>
      <c r="EY135" s="1708"/>
      <c r="EZ135" s="1708"/>
      <c r="FA135" s="1708"/>
      <c r="FB135" s="1708"/>
      <c r="FC135" s="1708"/>
      <c r="FD135" s="1708"/>
      <c r="FE135" s="1708"/>
      <c r="FF135" s="1708"/>
      <c r="FG135" s="1708"/>
      <c r="FH135" s="1708"/>
      <c r="FI135" s="1708"/>
      <c r="FJ135" s="1708"/>
      <c r="FK135" s="1708"/>
      <c r="FL135" s="1708"/>
      <c r="FM135" s="1708"/>
      <c r="FN135" s="1708"/>
      <c r="FO135" s="1708"/>
      <c r="FP135" s="1708"/>
      <c r="FQ135" s="1708"/>
      <c r="FR135" s="1708"/>
      <c r="FS135" s="1708"/>
      <c r="FT135" s="1708"/>
      <c r="FU135" s="1708"/>
      <c r="FV135" s="1708"/>
      <c r="FW135" s="1708"/>
      <c r="FX135" s="1708"/>
      <c r="FY135" s="1708"/>
      <c r="FZ135" s="1708"/>
      <c r="GA135" s="1708"/>
      <c r="GB135" s="1708"/>
      <c r="GC135" s="1708"/>
      <c r="GD135" s="1708"/>
      <c r="GE135" s="1708"/>
      <c r="GF135" s="1708"/>
      <c r="GG135" s="1708"/>
      <c r="GH135" s="1708"/>
      <c r="GI135" s="1708"/>
      <c r="GJ135" s="1708"/>
      <c r="GK135" s="1708"/>
      <c r="GL135" s="1708"/>
      <c r="GM135" s="1708"/>
      <c r="GN135" s="1708"/>
      <c r="GO135" s="1708"/>
      <c r="GP135" s="1708"/>
      <c r="GQ135" s="1708"/>
      <c r="GR135" s="1708"/>
      <c r="GS135" s="1708"/>
      <c r="GT135" s="1708"/>
      <c r="GU135" s="1708"/>
      <c r="GV135" s="1708"/>
      <c r="GW135" s="1708"/>
      <c r="GX135" s="1708"/>
      <c r="GY135" s="1708"/>
      <c r="GZ135" s="1708"/>
      <c r="HA135" s="1708"/>
      <c r="HB135" s="1708"/>
      <c r="HC135" s="1708"/>
      <c r="HD135" s="1708"/>
      <c r="HE135" s="1708"/>
      <c r="HF135" s="1708"/>
      <c r="HG135" s="1708"/>
      <c r="HH135" s="1708"/>
      <c r="HI135" s="1708"/>
      <c r="HJ135" s="1708"/>
      <c r="HK135" s="1708"/>
      <c r="HL135" s="1708"/>
      <c r="HM135" s="1708"/>
      <c r="HN135" s="1708"/>
      <c r="HO135" s="1708"/>
      <c r="HP135" s="1708"/>
      <c r="HQ135" s="1708"/>
      <c r="HR135" s="1708"/>
      <c r="HS135" s="1708"/>
      <c r="HT135" s="1708"/>
      <c r="HU135" s="1708"/>
      <c r="HV135" s="1708"/>
      <c r="HW135" s="1708"/>
      <c r="HX135" s="1708"/>
      <c r="HY135" s="1708"/>
      <c r="HZ135" s="1708"/>
      <c r="IA135" s="1708"/>
      <c r="IB135" s="1708"/>
      <c r="IC135" s="1708"/>
      <c r="ID135" s="1708"/>
      <c r="IE135" s="1708"/>
      <c r="IF135" s="1708"/>
      <c r="IG135" s="1708"/>
      <c r="IH135" s="1708"/>
      <c r="II135" s="1708"/>
      <c r="IJ135" s="1708"/>
      <c r="IK135" s="1708"/>
      <c r="IL135" s="1708"/>
      <c r="IM135" s="1708"/>
      <c r="IN135" s="1708"/>
      <c r="IO135" s="1708"/>
      <c r="IP135" s="1708"/>
      <c r="IQ135" s="1708"/>
      <c r="IR135" s="1708"/>
      <c r="IS135" s="1708"/>
      <c r="IT135" s="1708"/>
      <c r="IU135" s="1708"/>
      <c r="IV135" s="1708"/>
    </row>
    <row r="136" spans="1:256" s="57" customFormat="1" x14ac:dyDescent="0.25">
      <c r="A136" s="78"/>
      <c r="B136" s="468"/>
      <c r="C136" s="78"/>
      <c r="D136" s="78"/>
      <c r="E136" s="78"/>
      <c r="F136" s="78"/>
      <c r="G136" s="79"/>
      <c r="H136" s="78"/>
      <c r="I136" s="78"/>
      <c r="J136" s="553"/>
      <c r="K136" s="553"/>
      <c r="L136" s="78"/>
      <c r="M136" s="78"/>
      <c r="S136" s="1708"/>
      <c r="T136" s="1708"/>
      <c r="U136" s="1708"/>
      <c r="V136" s="1708"/>
      <c r="W136" s="1708"/>
      <c r="X136" s="1708"/>
      <c r="Y136" s="1708"/>
      <c r="Z136" s="1708"/>
      <c r="AA136" s="1708"/>
      <c r="AB136" s="1708"/>
      <c r="AC136" s="1708"/>
      <c r="AD136" s="1708"/>
      <c r="AE136" s="1708"/>
      <c r="AF136" s="1708"/>
      <c r="AG136" s="1708"/>
      <c r="AH136" s="1708"/>
      <c r="AI136" s="1708"/>
      <c r="AJ136" s="1708"/>
      <c r="AK136" s="1708"/>
      <c r="AL136" s="1708"/>
      <c r="AM136" s="1708"/>
      <c r="AN136" s="1708"/>
      <c r="AO136" s="1708"/>
      <c r="AP136" s="1708"/>
      <c r="AQ136" s="1708"/>
      <c r="AR136" s="1708"/>
      <c r="AS136" s="1708"/>
      <c r="AT136" s="1708"/>
      <c r="AU136" s="1708"/>
      <c r="AV136" s="1708"/>
      <c r="AW136" s="1708"/>
      <c r="AX136" s="1708"/>
      <c r="AY136" s="1708"/>
      <c r="AZ136" s="1708"/>
      <c r="BA136" s="1708"/>
      <c r="BB136" s="1708"/>
      <c r="BC136" s="1708"/>
      <c r="BD136" s="1708"/>
      <c r="BE136" s="1708"/>
      <c r="BF136" s="1708"/>
      <c r="BG136" s="1708"/>
      <c r="BH136" s="1708"/>
      <c r="BI136" s="1708"/>
      <c r="BJ136" s="1708"/>
      <c r="BK136" s="1708"/>
      <c r="BL136" s="1708"/>
      <c r="BM136" s="1708"/>
      <c r="BN136" s="1708"/>
      <c r="BO136" s="1708"/>
      <c r="BP136" s="1708"/>
      <c r="BQ136" s="1708"/>
      <c r="BR136" s="1708"/>
      <c r="BS136" s="1708"/>
      <c r="BT136" s="1708"/>
      <c r="BU136" s="1708"/>
      <c r="BV136" s="1708"/>
      <c r="BW136" s="1708"/>
      <c r="BX136" s="1708"/>
      <c r="BY136" s="1708"/>
      <c r="BZ136" s="1708"/>
      <c r="CA136" s="1708"/>
      <c r="CB136" s="1708"/>
      <c r="CC136" s="1708"/>
      <c r="CD136" s="1708"/>
      <c r="CE136" s="1708"/>
      <c r="CF136" s="1708"/>
      <c r="CG136" s="1708"/>
      <c r="CH136" s="1708"/>
      <c r="CI136" s="1708"/>
      <c r="CJ136" s="1708"/>
      <c r="CK136" s="1708"/>
      <c r="CL136" s="1708"/>
      <c r="CM136" s="1708"/>
      <c r="CN136" s="1708"/>
      <c r="CO136" s="1708"/>
      <c r="CP136" s="1708"/>
      <c r="CQ136" s="1708"/>
      <c r="CR136" s="1708"/>
      <c r="CS136" s="1708"/>
      <c r="CT136" s="1708"/>
      <c r="CU136" s="1708"/>
      <c r="CV136" s="1708"/>
      <c r="CW136" s="1708"/>
      <c r="CX136" s="1708"/>
      <c r="CY136" s="1708"/>
      <c r="CZ136" s="1708"/>
      <c r="DA136" s="1708"/>
      <c r="DB136" s="1708"/>
      <c r="DC136" s="1708"/>
      <c r="DD136" s="1708"/>
      <c r="DE136" s="1708"/>
      <c r="DF136" s="1708"/>
      <c r="DG136" s="1708"/>
      <c r="DH136" s="1708"/>
      <c r="DI136" s="1708"/>
      <c r="DJ136" s="1708"/>
      <c r="DK136" s="1708"/>
      <c r="DL136" s="1708"/>
      <c r="DM136" s="1708"/>
      <c r="DN136" s="1708"/>
      <c r="DO136" s="1708"/>
      <c r="DP136" s="1708"/>
      <c r="DQ136" s="1708"/>
      <c r="DR136" s="1708"/>
      <c r="DS136" s="1708"/>
      <c r="DT136" s="1708"/>
      <c r="DU136" s="1708"/>
      <c r="DV136" s="1708"/>
      <c r="DW136" s="1708"/>
      <c r="DX136" s="1708"/>
      <c r="DY136" s="1708"/>
      <c r="DZ136" s="1708"/>
      <c r="EA136" s="1708"/>
      <c r="EB136" s="1708"/>
      <c r="EC136" s="1708"/>
      <c r="ED136" s="1708"/>
      <c r="EE136" s="1708"/>
      <c r="EF136" s="1708"/>
      <c r="EG136" s="1708"/>
      <c r="EH136" s="1708"/>
      <c r="EI136" s="1708"/>
      <c r="EJ136" s="1708"/>
      <c r="EK136" s="1708"/>
      <c r="EL136" s="1708"/>
      <c r="EM136" s="1708"/>
      <c r="EN136" s="1708"/>
      <c r="EO136" s="1708"/>
      <c r="EP136" s="1708"/>
      <c r="EQ136" s="1708"/>
      <c r="ER136" s="1708"/>
      <c r="ES136" s="1708"/>
      <c r="ET136" s="1708"/>
      <c r="EU136" s="1708"/>
      <c r="EV136" s="1708"/>
      <c r="EW136" s="1708"/>
      <c r="EX136" s="1708"/>
      <c r="EY136" s="1708"/>
      <c r="EZ136" s="1708"/>
      <c r="FA136" s="1708"/>
      <c r="FB136" s="1708"/>
      <c r="FC136" s="1708"/>
      <c r="FD136" s="1708"/>
      <c r="FE136" s="1708"/>
      <c r="FF136" s="1708"/>
      <c r="FG136" s="1708"/>
      <c r="FH136" s="1708"/>
      <c r="FI136" s="1708"/>
      <c r="FJ136" s="1708"/>
      <c r="FK136" s="1708"/>
      <c r="FL136" s="1708"/>
      <c r="FM136" s="1708"/>
      <c r="FN136" s="1708"/>
      <c r="FO136" s="1708"/>
      <c r="FP136" s="1708"/>
      <c r="FQ136" s="1708"/>
      <c r="FR136" s="1708"/>
      <c r="FS136" s="1708"/>
      <c r="FT136" s="1708"/>
      <c r="FU136" s="1708"/>
      <c r="FV136" s="1708"/>
      <c r="FW136" s="1708"/>
      <c r="FX136" s="1708"/>
      <c r="FY136" s="1708"/>
      <c r="FZ136" s="1708"/>
      <c r="GA136" s="1708"/>
      <c r="GB136" s="1708"/>
      <c r="GC136" s="1708"/>
      <c r="GD136" s="1708"/>
      <c r="GE136" s="1708"/>
      <c r="GF136" s="1708"/>
      <c r="GG136" s="1708"/>
      <c r="GH136" s="1708"/>
      <c r="GI136" s="1708"/>
      <c r="GJ136" s="1708"/>
      <c r="GK136" s="1708"/>
      <c r="GL136" s="1708"/>
      <c r="GM136" s="1708"/>
      <c r="GN136" s="1708"/>
      <c r="GO136" s="1708"/>
      <c r="GP136" s="1708"/>
      <c r="GQ136" s="1708"/>
      <c r="GR136" s="1708"/>
      <c r="GS136" s="1708"/>
      <c r="GT136" s="1708"/>
      <c r="GU136" s="1708"/>
      <c r="GV136" s="1708"/>
      <c r="GW136" s="1708"/>
      <c r="GX136" s="1708"/>
      <c r="GY136" s="1708"/>
      <c r="GZ136" s="1708"/>
      <c r="HA136" s="1708"/>
      <c r="HB136" s="1708"/>
      <c r="HC136" s="1708"/>
      <c r="HD136" s="1708"/>
      <c r="HE136" s="1708"/>
      <c r="HF136" s="1708"/>
      <c r="HG136" s="1708"/>
      <c r="HH136" s="1708"/>
      <c r="HI136" s="1708"/>
      <c r="HJ136" s="1708"/>
      <c r="HK136" s="1708"/>
      <c r="HL136" s="1708"/>
      <c r="HM136" s="1708"/>
      <c r="HN136" s="1708"/>
      <c r="HO136" s="1708"/>
      <c r="HP136" s="1708"/>
      <c r="HQ136" s="1708"/>
      <c r="HR136" s="1708"/>
      <c r="HS136" s="1708"/>
      <c r="HT136" s="1708"/>
      <c r="HU136" s="1708"/>
      <c r="HV136" s="1708"/>
      <c r="HW136" s="1708"/>
      <c r="HX136" s="1708"/>
      <c r="HY136" s="1708"/>
      <c r="HZ136" s="1708"/>
      <c r="IA136" s="1708"/>
      <c r="IB136" s="1708"/>
      <c r="IC136" s="1708"/>
      <c r="ID136" s="1708"/>
      <c r="IE136" s="1708"/>
      <c r="IF136" s="1708"/>
      <c r="IG136" s="1708"/>
      <c r="IH136" s="1708"/>
      <c r="II136" s="1708"/>
      <c r="IJ136" s="1708"/>
      <c r="IK136" s="1708"/>
      <c r="IL136" s="1708"/>
      <c r="IM136" s="1708"/>
      <c r="IN136" s="1708"/>
      <c r="IO136" s="1708"/>
      <c r="IP136" s="1708"/>
      <c r="IQ136" s="1708"/>
      <c r="IR136" s="1708"/>
      <c r="IS136" s="1708"/>
      <c r="IT136" s="1708"/>
      <c r="IU136" s="1708"/>
      <c r="IV136" s="1708"/>
    </row>
    <row r="137" spans="1:256" s="57" customFormat="1" x14ac:dyDescent="0.25">
      <c r="A137" s="78"/>
      <c r="B137" s="468"/>
      <c r="C137" s="78"/>
      <c r="D137" s="78"/>
      <c r="E137" s="78"/>
      <c r="F137" s="78"/>
      <c r="G137" s="79"/>
      <c r="H137" s="78"/>
      <c r="I137" s="78"/>
      <c r="J137" s="553"/>
      <c r="K137" s="553"/>
      <c r="L137" s="78"/>
      <c r="M137" s="78"/>
      <c r="S137" s="1708"/>
      <c r="T137" s="1708"/>
      <c r="U137" s="1708"/>
      <c r="V137" s="1708"/>
      <c r="W137" s="1708"/>
      <c r="X137" s="1708"/>
      <c r="Y137" s="1708"/>
      <c r="Z137" s="1708"/>
      <c r="AA137" s="1708"/>
      <c r="AB137" s="1708"/>
      <c r="AC137" s="1708"/>
      <c r="AD137" s="1708"/>
      <c r="AE137" s="1708"/>
      <c r="AF137" s="1708"/>
      <c r="AG137" s="1708"/>
      <c r="AH137" s="1708"/>
      <c r="AI137" s="1708"/>
      <c r="AJ137" s="1708"/>
      <c r="AK137" s="1708"/>
      <c r="AL137" s="1708"/>
      <c r="AM137" s="1708"/>
      <c r="AN137" s="1708"/>
      <c r="AO137" s="1708"/>
      <c r="AP137" s="1708"/>
      <c r="AQ137" s="1708"/>
      <c r="AR137" s="1708"/>
      <c r="AS137" s="1708"/>
      <c r="AT137" s="1708"/>
      <c r="AU137" s="1708"/>
      <c r="AV137" s="1708"/>
      <c r="AW137" s="1708"/>
      <c r="AX137" s="1708"/>
      <c r="AY137" s="1708"/>
      <c r="AZ137" s="1708"/>
      <c r="BA137" s="1708"/>
      <c r="BB137" s="1708"/>
      <c r="BC137" s="1708"/>
      <c r="BD137" s="1708"/>
      <c r="BE137" s="1708"/>
      <c r="BF137" s="1708"/>
      <c r="BG137" s="1708"/>
      <c r="BH137" s="1708"/>
      <c r="BI137" s="1708"/>
      <c r="BJ137" s="1708"/>
      <c r="BK137" s="1708"/>
      <c r="BL137" s="1708"/>
      <c r="BM137" s="1708"/>
      <c r="BN137" s="1708"/>
      <c r="BO137" s="1708"/>
      <c r="BP137" s="1708"/>
      <c r="BQ137" s="1708"/>
      <c r="BR137" s="1708"/>
      <c r="BS137" s="1708"/>
      <c r="BT137" s="1708"/>
      <c r="BU137" s="1708"/>
      <c r="BV137" s="1708"/>
      <c r="BW137" s="1708"/>
      <c r="BX137" s="1708"/>
      <c r="BY137" s="1708"/>
      <c r="BZ137" s="1708"/>
      <c r="CA137" s="1708"/>
      <c r="CB137" s="1708"/>
      <c r="CC137" s="1708"/>
      <c r="CD137" s="1708"/>
      <c r="CE137" s="1708"/>
      <c r="CF137" s="1708"/>
      <c r="CG137" s="1708"/>
      <c r="CH137" s="1708"/>
      <c r="CI137" s="1708"/>
      <c r="CJ137" s="1708"/>
      <c r="CK137" s="1708"/>
      <c r="CL137" s="1708"/>
      <c r="CM137" s="1708"/>
      <c r="CN137" s="1708"/>
      <c r="CO137" s="1708"/>
      <c r="CP137" s="1708"/>
      <c r="CQ137" s="1708"/>
      <c r="CR137" s="1708"/>
      <c r="CS137" s="1708"/>
      <c r="CT137" s="1708"/>
      <c r="CU137" s="1708"/>
      <c r="CV137" s="1708"/>
      <c r="CW137" s="1708"/>
      <c r="CX137" s="1708"/>
      <c r="CY137" s="1708"/>
      <c r="CZ137" s="1708"/>
      <c r="DA137" s="1708"/>
      <c r="DB137" s="1708"/>
      <c r="DC137" s="1708"/>
      <c r="DD137" s="1708"/>
      <c r="DE137" s="1708"/>
      <c r="DF137" s="1708"/>
      <c r="DG137" s="1708"/>
      <c r="DH137" s="1708"/>
      <c r="DI137" s="1708"/>
      <c r="DJ137" s="1708"/>
      <c r="DK137" s="1708"/>
      <c r="DL137" s="1708"/>
      <c r="DM137" s="1708"/>
      <c r="DN137" s="1708"/>
      <c r="DO137" s="1708"/>
      <c r="DP137" s="1708"/>
      <c r="DQ137" s="1708"/>
      <c r="DR137" s="1708"/>
      <c r="DS137" s="1708"/>
      <c r="DT137" s="1708"/>
      <c r="DU137" s="1708"/>
      <c r="DV137" s="1708"/>
      <c r="DW137" s="1708"/>
      <c r="DX137" s="1708"/>
      <c r="DY137" s="1708"/>
      <c r="DZ137" s="1708"/>
      <c r="EA137" s="1708"/>
      <c r="EB137" s="1708"/>
      <c r="EC137" s="1708"/>
      <c r="ED137" s="1708"/>
      <c r="EE137" s="1708"/>
      <c r="EF137" s="1708"/>
      <c r="EG137" s="1708"/>
      <c r="EH137" s="1708"/>
      <c r="EI137" s="1708"/>
      <c r="EJ137" s="1708"/>
      <c r="EK137" s="1708"/>
      <c r="EL137" s="1708"/>
      <c r="EM137" s="1708"/>
      <c r="EN137" s="1708"/>
      <c r="EO137" s="1708"/>
      <c r="EP137" s="1708"/>
      <c r="EQ137" s="1708"/>
      <c r="ER137" s="1708"/>
      <c r="ES137" s="1708"/>
      <c r="ET137" s="1708"/>
      <c r="EU137" s="1708"/>
      <c r="EV137" s="1708"/>
      <c r="EW137" s="1708"/>
      <c r="EX137" s="1708"/>
      <c r="EY137" s="1708"/>
      <c r="EZ137" s="1708"/>
      <c r="FA137" s="1708"/>
      <c r="FB137" s="1708"/>
      <c r="FC137" s="1708"/>
      <c r="FD137" s="1708"/>
      <c r="FE137" s="1708"/>
      <c r="FF137" s="1708"/>
      <c r="FG137" s="1708"/>
      <c r="FH137" s="1708"/>
      <c r="FI137" s="1708"/>
      <c r="FJ137" s="1708"/>
      <c r="FK137" s="1708"/>
      <c r="FL137" s="1708"/>
      <c r="FM137" s="1708"/>
      <c r="FN137" s="1708"/>
      <c r="FO137" s="1708"/>
      <c r="FP137" s="1708"/>
      <c r="FQ137" s="1708"/>
      <c r="FR137" s="1708"/>
      <c r="FS137" s="1708"/>
      <c r="FT137" s="1708"/>
      <c r="FU137" s="1708"/>
      <c r="FV137" s="1708"/>
      <c r="FW137" s="1708"/>
      <c r="FX137" s="1708"/>
      <c r="FY137" s="1708"/>
      <c r="FZ137" s="1708"/>
      <c r="GA137" s="1708"/>
      <c r="GB137" s="1708"/>
      <c r="GC137" s="1708"/>
      <c r="GD137" s="1708"/>
      <c r="GE137" s="1708"/>
      <c r="GF137" s="1708"/>
      <c r="GG137" s="1708"/>
      <c r="GH137" s="1708"/>
      <c r="GI137" s="1708"/>
      <c r="GJ137" s="1708"/>
      <c r="GK137" s="1708"/>
      <c r="GL137" s="1708"/>
      <c r="GM137" s="1708"/>
      <c r="GN137" s="1708"/>
      <c r="GO137" s="1708"/>
      <c r="GP137" s="1708"/>
      <c r="GQ137" s="1708"/>
      <c r="GR137" s="1708"/>
      <c r="GS137" s="1708"/>
      <c r="GT137" s="1708"/>
      <c r="GU137" s="1708"/>
      <c r="GV137" s="1708"/>
      <c r="GW137" s="1708"/>
      <c r="GX137" s="1708"/>
      <c r="GY137" s="1708"/>
      <c r="GZ137" s="1708"/>
      <c r="HA137" s="1708"/>
      <c r="HB137" s="1708"/>
      <c r="HC137" s="1708"/>
      <c r="HD137" s="1708"/>
      <c r="HE137" s="1708"/>
      <c r="HF137" s="1708"/>
      <c r="HG137" s="1708"/>
      <c r="HH137" s="1708"/>
      <c r="HI137" s="1708"/>
      <c r="HJ137" s="1708"/>
      <c r="HK137" s="1708"/>
      <c r="HL137" s="1708"/>
      <c r="HM137" s="1708"/>
      <c r="HN137" s="1708"/>
      <c r="HO137" s="1708"/>
      <c r="HP137" s="1708"/>
      <c r="HQ137" s="1708"/>
      <c r="HR137" s="1708"/>
      <c r="HS137" s="1708"/>
      <c r="HT137" s="1708"/>
      <c r="HU137" s="1708"/>
      <c r="HV137" s="1708"/>
      <c r="HW137" s="1708"/>
      <c r="HX137" s="1708"/>
      <c r="HY137" s="1708"/>
      <c r="HZ137" s="1708"/>
      <c r="IA137" s="1708"/>
      <c r="IB137" s="1708"/>
      <c r="IC137" s="1708"/>
      <c r="ID137" s="1708"/>
      <c r="IE137" s="1708"/>
      <c r="IF137" s="1708"/>
      <c r="IG137" s="1708"/>
      <c r="IH137" s="1708"/>
      <c r="II137" s="1708"/>
      <c r="IJ137" s="1708"/>
      <c r="IK137" s="1708"/>
      <c r="IL137" s="1708"/>
      <c r="IM137" s="1708"/>
      <c r="IN137" s="1708"/>
      <c r="IO137" s="1708"/>
      <c r="IP137" s="1708"/>
      <c r="IQ137" s="1708"/>
      <c r="IR137" s="1708"/>
      <c r="IS137" s="1708"/>
      <c r="IT137" s="1708"/>
      <c r="IU137" s="1708"/>
      <c r="IV137" s="1708"/>
    </row>
    <row r="138" spans="1:256" s="57" customFormat="1" x14ac:dyDescent="0.25">
      <c r="B138" s="1836"/>
      <c r="G138" s="1849"/>
      <c r="J138" s="1850"/>
      <c r="K138" s="1850"/>
      <c r="S138" s="1708"/>
      <c r="T138" s="1708"/>
      <c r="U138" s="1708"/>
      <c r="V138" s="1708"/>
      <c r="W138" s="1708"/>
      <c r="X138" s="1708"/>
      <c r="Y138" s="1708"/>
      <c r="Z138" s="1708"/>
      <c r="AA138" s="1708"/>
      <c r="AB138" s="1708"/>
      <c r="AC138" s="1708"/>
      <c r="AD138" s="1708"/>
      <c r="AE138" s="1708"/>
      <c r="AF138" s="1708"/>
      <c r="AG138" s="1708"/>
      <c r="AH138" s="1708"/>
      <c r="AI138" s="1708"/>
      <c r="AJ138" s="1708"/>
      <c r="AK138" s="1708"/>
      <c r="AL138" s="1708"/>
      <c r="AM138" s="1708"/>
      <c r="AN138" s="1708"/>
      <c r="AO138" s="1708"/>
      <c r="AP138" s="1708"/>
      <c r="AQ138" s="1708"/>
      <c r="AR138" s="1708"/>
      <c r="AS138" s="1708"/>
      <c r="AT138" s="1708"/>
      <c r="AU138" s="1708"/>
      <c r="AV138" s="1708"/>
      <c r="AW138" s="1708"/>
      <c r="AX138" s="1708"/>
      <c r="AY138" s="1708"/>
      <c r="AZ138" s="1708"/>
      <c r="BA138" s="1708"/>
      <c r="BB138" s="1708"/>
      <c r="BC138" s="1708"/>
      <c r="BD138" s="1708"/>
      <c r="BE138" s="1708"/>
      <c r="BF138" s="1708"/>
      <c r="BG138" s="1708"/>
      <c r="BH138" s="1708"/>
      <c r="BI138" s="1708"/>
      <c r="BJ138" s="1708"/>
      <c r="BK138" s="1708"/>
      <c r="BL138" s="1708"/>
      <c r="BM138" s="1708"/>
      <c r="BN138" s="1708"/>
      <c r="BO138" s="1708"/>
      <c r="BP138" s="1708"/>
      <c r="BQ138" s="1708"/>
      <c r="BR138" s="1708"/>
      <c r="BS138" s="1708"/>
      <c r="BT138" s="1708"/>
      <c r="BU138" s="1708"/>
      <c r="BV138" s="1708"/>
      <c r="BW138" s="1708"/>
      <c r="BX138" s="1708"/>
      <c r="BY138" s="1708"/>
      <c r="BZ138" s="1708"/>
      <c r="CA138" s="1708"/>
      <c r="CB138" s="1708"/>
      <c r="CC138" s="1708"/>
      <c r="CD138" s="1708"/>
      <c r="CE138" s="1708"/>
      <c r="CF138" s="1708"/>
      <c r="CG138" s="1708"/>
      <c r="CH138" s="1708"/>
      <c r="CI138" s="1708"/>
      <c r="CJ138" s="1708"/>
      <c r="CK138" s="1708"/>
      <c r="CL138" s="1708"/>
      <c r="CM138" s="1708"/>
      <c r="CN138" s="1708"/>
      <c r="CO138" s="1708"/>
      <c r="CP138" s="1708"/>
      <c r="CQ138" s="1708"/>
      <c r="CR138" s="1708"/>
      <c r="CS138" s="1708"/>
      <c r="CT138" s="1708"/>
      <c r="CU138" s="1708"/>
      <c r="CV138" s="1708"/>
      <c r="CW138" s="1708"/>
      <c r="CX138" s="1708"/>
      <c r="CY138" s="1708"/>
      <c r="CZ138" s="1708"/>
      <c r="DA138" s="1708"/>
      <c r="DB138" s="1708"/>
      <c r="DC138" s="1708"/>
      <c r="DD138" s="1708"/>
      <c r="DE138" s="1708"/>
      <c r="DF138" s="1708"/>
      <c r="DG138" s="1708"/>
      <c r="DH138" s="1708"/>
      <c r="DI138" s="1708"/>
      <c r="DJ138" s="1708"/>
      <c r="DK138" s="1708"/>
      <c r="DL138" s="1708"/>
      <c r="DM138" s="1708"/>
      <c r="DN138" s="1708"/>
      <c r="DO138" s="1708"/>
      <c r="DP138" s="1708"/>
      <c r="DQ138" s="1708"/>
      <c r="DR138" s="1708"/>
      <c r="DS138" s="1708"/>
      <c r="DT138" s="1708"/>
      <c r="DU138" s="1708"/>
      <c r="DV138" s="1708"/>
      <c r="DW138" s="1708"/>
      <c r="DX138" s="1708"/>
      <c r="DY138" s="1708"/>
      <c r="DZ138" s="1708"/>
      <c r="EA138" s="1708"/>
      <c r="EB138" s="1708"/>
      <c r="EC138" s="1708"/>
      <c r="ED138" s="1708"/>
      <c r="EE138" s="1708"/>
      <c r="EF138" s="1708"/>
      <c r="EG138" s="1708"/>
      <c r="EH138" s="1708"/>
      <c r="EI138" s="1708"/>
      <c r="EJ138" s="1708"/>
      <c r="EK138" s="1708"/>
      <c r="EL138" s="1708"/>
      <c r="EM138" s="1708"/>
      <c r="EN138" s="1708"/>
      <c r="EO138" s="1708"/>
      <c r="EP138" s="1708"/>
      <c r="EQ138" s="1708"/>
      <c r="ER138" s="1708"/>
      <c r="ES138" s="1708"/>
      <c r="ET138" s="1708"/>
      <c r="EU138" s="1708"/>
      <c r="EV138" s="1708"/>
      <c r="EW138" s="1708"/>
      <c r="EX138" s="1708"/>
      <c r="EY138" s="1708"/>
      <c r="EZ138" s="1708"/>
      <c r="FA138" s="1708"/>
      <c r="FB138" s="1708"/>
      <c r="FC138" s="1708"/>
      <c r="FD138" s="1708"/>
      <c r="FE138" s="1708"/>
      <c r="FF138" s="1708"/>
      <c r="FG138" s="1708"/>
      <c r="FH138" s="1708"/>
      <c r="FI138" s="1708"/>
      <c r="FJ138" s="1708"/>
      <c r="FK138" s="1708"/>
      <c r="FL138" s="1708"/>
      <c r="FM138" s="1708"/>
      <c r="FN138" s="1708"/>
      <c r="FO138" s="1708"/>
      <c r="FP138" s="1708"/>
      <c r="FQ138" s="1708"/>
      <c r="FR138" s="1708"/>
      <c r="FS138" s="1708"/>
      <c r="FT138" s="1708"/>
      <c r="FU138" s="1708"/>
      <c r="FV138" s="1708"/>
      <c r="FW138" s="1708"/>
      <c r="FX138" s="1708"/>
      <c r="FY138" s="1708"/>
      <c r="FZ138" s="1708"/>
      <c r="GA138" s="1708"/>
      <c r="GB138" s="1708"/>
      <c r="GC138" s="1708"/>
      <c r="GD138" s="1708"/>
      <c r="GE138" s="1708"/>
      <c r="GF138" s="1708"/>
      <c r="GG138" s="1708"/>
      <c r="GH138" s="1708"/>
      <c r="GI138" s="1708"/>
      <c r="GJ138" s="1708"/>
      <c r="GK138" s="1708"/>
      <c r="GL138" s="1708"/>
      <c r="GM138" s="1708"/>
      <c r="GN138" s="1708"/>
      <c r="GO138" s="1708"/>
      <c r="GP138" s="1708"/>
      <c r="GQ138" s="1708"/>
      <c r="GR138" s="1708"/>
      <c r="GS138" s="1708"/>
      <c r="GT138" s="1708"/>
      <c r="GU138" s="1708"/>
      <c r="GV138" s="1708"/>
      <c r="GW138" s="1708"/>
      <c r="GX138" s="1708"/>
      <c r="GY138" s="1708"/>
      <c r="GZ138" s="1708"/>
      <c r="HA138" s="1708"/>
      <c r="HB138" s="1708"/>
      <c r="HC138" s="1708"/>
      <c r="HD138" s="1708"/>
      <c r="HE138" s="1708"/>
      <c r="HF138" s="1708"/>
      <c r="HG138" s="1708"/>
      <c r="HH138" s="1708"/>
      <c r="HI138" s="1708"/>
      <c r="HJ138" s="1708"/>
      <c r="HK138" s="1708"/>
      <c r="HL138" s="1708"/>
      <c r="HM138" s="1708"/>
      <c r="HN138" s="1708"/>
      <c r="HO138" s="1708"/>
      <c r="HP138" s="1708"/>
      <c r="HQ138" s="1708"/>
      <c r="HR138" s="1708"/>
      <c r="HS138" s="1708"/>
      <c r="HT138" s="1708"/>
      <c r="HU138" s="1708"/>
      <c r="HV138" s="1708"/>
      <c r="HW138" s="1708"/>
      <c r="HX138" s="1708"/>
      <c r="HY138" s="1708"/>
      <c r="HZ138" s="1708"/>
      <c r="IA138" s="1708"/>
      <c r="IB138" s="1708"/>
      <c r="IC138" s="1708"/>
      <c r="ID138" s="1708"/>
      <c r="IE138" s="1708"/>
      <c r="IF138" s="1708"/>
      <c r="IG138" s="1708"/>
      <c r="IH138" s="1708"/>
      <c r="II138" s="1708"/>
      <c r="IJ138" s="1708"/>
      <c r="IK138" s="1708"/>
      <c r="IL138" s="1708"/>
      <c r="IM138" s="1708"/>
      <c r="IN138" s="1708"/>
      <c r="IO138" s="1708"/>
      <c r="IP138" s="1708"/>
      <c r="IQ138" s="1708"/>
      <c r="IR138" s="1708"/>
      <c r="IS138" s="1708"/>
      <c r="IT138" s="1708"/>
      <c r="IU138" s="1708"/>
      <c r="IV138" s="1708"/>
    </row>
    <row r="139" spans="1:256" s="57" customFormat="1" x14ac:dyDescent="0.25">
      <c r="B139" s="1836"/>
      <c r="G139" s="1849"/>
      <c r="J139" s="1850"/>
      <c r="K139" s="1850"/>
      <c r="S139" s="1708"/>
      <c r="T139" s="1708"/>
      <c r="U139" s="1708"/>
      <c r="V139" s="1708"/>
      <c r="W139" s="1708"/>
      <c r="X139" s="1708"/>
      <c r="Y139" s="1708"/>
      <c r="Z139" s="1708"/>
      <c r="AA139" s="1708"/>
      <c r="AB139" s="1708"/>
      <c r="AC139" s="1708"/>
      <c r="AD139" s="1708"/>
      <c r="AE139" s="1708"/>
      <c r="AF139" s="1708"/>
      <c r="AG139" s="1708"/>
      <c r="AH139" s="1708"/>
      <c r="AI139" s="1708"/>
      <c r="AJ139" s="1708"/>
      <c r="AK139" s="1708"/>
      <c r="AL139" s="1708"/>
      <c r="AM139" s="1708"/>
      <c r="AN139" s="1708"/>
      <c r="AO139" s="1708"/>
      <c r="AP139" s="1708"/>
      <c r="AQ139" s="1708"/>
      <c r="AR139" s="1708"/>
      <c r="AS139" s="1708"/>
      <c r="AT139" s="1708"/>
      <c r="AU139" s="1708"/>
      <c r="AV139" s="1708"/>
      <c r="AW139" s="1708"/>
      <c r="AX139" s="1708"/>
      <c r="AY139" s="1708"/>
      <c r="AZ139" s="1708"/>
      <c r="BA139" s="1708"/>
      <c r="BB139" s="1708"/>
      <c r="BC139" s="1708"/>
      <c r="BD139" s="1708"/>
      <c r="BE139" s="1708"/>
      <c r="BF139" s="1708"/>
      <c r="BG139" s="1708"/>
      <c r="BH139" s="1708"/>
      <c r="BI139" s="1708"/>
      <c r="BJ139" s="1708"/>
      <c r="BK139" s="1708"/>
      <c r="BL139" s="1708"/>
      <c r="BM139" s="1708"/>
      <c r="BN139" s="1708"/>
      <c r="BO139" s="1708"/>
      <c r="BP139" s="1708"/>
      <c r="BQ139" s="1708"/>
      <c r="BR139" s="1708"/>
      <c r="BS139" s="1708"/>
      <c r="BT139" s="1708"/>
      <c r="BU139" s="1708"/>
      <c r="BV139" s="1708"/>
      <c r="BW139" s="1708"/>
      <c r="BX139" s="1708"/>
      <c r="BY139" s="1708"/>
      <c r="BZ139" s="1708"/>
      <c r="CA139" s="1708"/>
      <c r="CB139" s="1708"/>
      <c r="CC139" s="1708"/>
      <c r="CD139" s="1708"/>
      <c r="CE139" s="1708"/>
      <c r="CF139" s="1708"/>
      <c r="CG139" s="1708"/>
      <c r="CH139" s="1708"/>
      <c r="CI139" s="1708"/>
      <c r="CJ139" s="1708"/>
      <c r="CK139" s="1708"/>
      <c r="CL139" s="1708"/>
      <c r="CM139" s="1708"/>
      <c r="CN139" s="1708"/>
      <c r="CO139" s="1708"/>
      <c r="CP139" s="1708"/>
      <c r="CQ139" s="1708"/>
      <c r="CR139" s="1708"/>
      <c r="CS139" s="1708"/>
      <c r="CT139" s="1708"/>
      <c r="CU139" s="1708"/>
      <c r="CV139" s="1708"/>
      <c r="CW139" s="1708"/>
      <c r="CX139" s="1708"/>
      <c r="CY139" s="1708"/>
      <c r="CZ139" s="1708"/>
      <c r="DA139" s="1708"/>
      <c r="DB139" s="1708"/>
      <c r="DC139" s="1708"/>
      <c r="DD139" s="1708"/>
      <c r="DE139" s="1708"/>
      <c r="DF139" s="1708"/>
      <c r="DG139" s="1708"/>
      <c r="DH139" s="1708"/>
      <c r="DI139" s="1708"/>
      <c r="DJ139" s="1708"/>
      <c r="DK139" s="1708"/>
      <c r="DL139" s="1708"/>
      <c r="DM139" s="1708"/>
      <c r="DN139" s="1708"/>
      <c r="DO139" s="1708"/>
      <c r="DP139" s="1708"/>
      <c r="DQ139" s="1708"/>
      <c r="DR139" s="1708"/>
      <c r="DS139" s="1708"/>
      <c r="DT139" s="1708"/>
      <c r="DU139" s="1708"/>
      <c r="DV139" s="1708"/>
      <c r="DW139" s="1708"/>
      <c r="DX139" s="1708"/>
      <c r="DY139" s="1708"/>
      <c r="DZ139" s="1708"/>
      <c r="EA139" s="1708"/>
      <c r="EB139" s="1708"/>
      <c r="EC139" s="1708"/>
      <c r="ED139" s="1708"/>
      <c r="EE139" s="1708"/>
      <c r="EF139" s="1708"/>
      <c r="EG139" s="1708"/>
      <c r="EH139" s="1708"/>
      <c r="EI139" s="1708"/>
      <c r="EJ139" s="1708"/>
      <c r="EK139" s="1708"/>
      <c r="EL139" s="1708"/>
      <c r="EM139" s="1708"/>
      <c r="EN139" s="1708"/>
      <c r="EO139" s="1708"/>
      <c r="EP139" s="1708"/>
      <c r="EQ139" s="1708"/>
      <c r="ER139" s="1708"/>
      <c r="ES139" s="1708"/>
      <c r="ET139" s="1708"/>
      <c r="EU139" s="1708"/>
      <c r="EV139" s="1708"/>
      <c r="EW139" s="1708"/>
      <c r="EX139" s="1708"/>
      <c r="EY139" s="1708"/>
      <c r="EZ139" s="1708"/>
      <c r="FA139" s="1708"/>
      <c r="FB139" s="1708"/>
      <c r="FC139" s="1708"/>
      <c r="FD139" s="1708"/>
      <c r="FE139" s="1708"/>
      <c r="FF139" s="1708"/>
      <c r="FG139" s="1708"/>
      <c r="FH139" s="1708"/>
      <c r="FI139" s="1708"/>
      <c r="FJ139" s="1708"/>
      <c r="FK139" s="1708"/>
      <c r="FL139" s="1708"/>
      <c r="FM139" s="1708"/>
      <c r="FN139" s="1708"/>
      <c r="FO139" s="1708"/>
      <c r="FP139" s="1708"/>
      <c r="FQ139" s="1708"/>
      <c r="FR139" s="1708"/>
      <c r="FS139" s="1708"/>
      <c r="FT139" s="1708"/>
      <c r="FU139" s="1708"/>
      <c r="FV139" s="1708"/>
      <c r="FW139" s="1708"/>
      <c r="FX139" s="1708"/>
      <c r="FY139" s="1708"/>
      <c r="FZ139" s="1708"/>
      <c r="GA139" s="1708"/>
      <c r="GB139" s="1708"/>
      <c r="GC139" s="1708"/>
      <c r="GD139" s="1708"/>
      <c r="GE139" s="1708"/>
      <c r="GF139" s="1708"/>
      <c r="GG139" s="1708"/>
      <c r="GH139" s="1708"/>
      <c r="GI139" s="1708"/>
      <c r="GJ139" s="1708"/>
      <c r="GK139" s="1708"/>
      <c r="GL139" s="1708"/>
      <c r="GM139" s="1708"/>
      <c r="GN139" s="1708"/>
      <c r="GO139" s="1708"/>
      <c r="GP139" s="1708"/>
      <c r="GQ139" s="1708"/>
      <c r="GR139" s="1708"/>
      <c r="GS139" s="1708"/>
      <c r="GT139" s="1708"/>
      <c r="GU139" s="1708"/>
      <c r="GV139" s="1708"/>
      <c r="GW139" s="1708"/>
      <c r="GX139" s="1708"/>
      <c r="GY139" s="1708"/>
      <c r="GZ139" s="1708"/>
      <c r="HA139" s="1708"/>
      <c r="HB139" s="1708"/>
      <c r="HC139" s="1708"/>
      <c r="HD139" s="1708"/>
      <c r="HE139" s="1708"/>
      <c r="HF139" s="1708"/>
      <c r="HG139" s="1708"/>
      <c r="HH139" s="1708"/>
      <c r="HI139" s="1708"/>
      <c r="HJ139" s="1708"/>
      <c r="HK139" s="1708"/>
      <c r="HL139" s="1708"/>
      <c r="HM139" s="1708"/>
      <c r="HN139" s="1708"/>
      <c r="HO139" s="1708"/>
      <c r="HP139" s="1708"/>
      <c r="HQ139" s="1708"/>
      <c r="HR139" s="1708"/>
      <c r="HS139" s="1708"/>
      <c r="HT139" s="1708"/>
      <c r="HU139" s="1708"/>
      <c r="HV139" s="1708"/>
      <c r="HW139" s="1708"/>
      <c r="HX139" s="1708"/>
      <c r="HY139" s="1708"/>
      <c r="HZ139" s="1708"/>
      <c r="IA139" s="1708"/>
      <c r="IB139" s="1708"/>
      <c r="IC139" s="1708"/>
      <c r="ID139" s="1708"/>
      <c r="IE139" s="1708"/>
      <c r="IF139" s="1708"/>
      <c r="IG139" s="1708"/>
      <c r="IH139" s="1708"/>
      <c r="II139" s="1708"/>
      <c r="IJ139" s="1708"/>
      <c r="IK139" s="1708"/>
      <c r="IL139" s="1708"/>
      <c r="IM139" s="1708"/>
      <c r="IN139" s="1708"/>
      <c r="IO139" s="1708"/>
      <c r="IP139" s="1708"/>
      <c r="IQ139" s="1708"/>
      <c r="IR139" s="1708"/>
      <c r="IS139" s="1708"/>
      <c r="IT139" s="1708"/>
      <c r="IU139" s="1708"/>
      <c r="IV139" s="1708"/>
    </row>
    <row r="140" spans="1:256" s="57" customFormat="1" x14ac:dyDescent="0.25">
      <c r="B140" s="1836"/>
      <c r="G140" s="1849"/>
      <c r="J140" s="1850"/>
      <c r="K140" s="1850"/>
      <c r="S140" s="1708"/>
      <c r="T140" s="1708"/>
      <c r="U140" s="1708"/>
      <c r="V140" s="1708"/>
      <c r="W140" s="1708"/>
      <c r="X140" s="1708"/>
      <c r="Y140" s="1708"/>
      <c r="Z140" s="1708"/>
      <c r="AA140" s="1708"/>
      <c r="AB140" s="1708"/>
      <c r="AC140" s="1708"/>
      <c r="AD140" s="1708"/>
      <c r="AE140" s="1708"/>
      <c r="AF140" s="1708"/>
      <c r="AG140" s="1708"/>
      <c r="AH140" s="1708"/>
      <c r="AI140" s="1708"/>
      <c r="AJ140" s="1708"/>
      <c r="AK140" s="1708"/>
      <c r="AL140" s="1708"/>
      <c r="AM140" s="1708"/>
      <c r="AN140" s="1708"/>
      <c r="AO140" s="1708"/>
      <c r="AP140" s="1708"/>
      <c r="AQ140" s="1708"/>
      <c r="AR140" s="1708"/>
      <c r="AS140" s="1708"/>
      <c r="AT140" s="1708"/>
      <c r="AU140" s="1708"/>
      <c r="AV140" s="1708"/>
      <c r="AW140" s="1708"/>
      <c r="AX140" s="1708"/>
      <c r="AY140" s="1708"/>
      <c r="AZ140" s="1708"/>
      <c r="BA140" s="1708"/>
      <c r="BB140" s="1708"/>
      <c r="BC140" s="1708"/>
      <c r="BD140" s="1708"/>
      <c r="BE140" s="1708"/>
      <c r="BF140" s="1708"/>
      <c r="BG140" s="1708"/>
      <c r="BH140" s="1708"/>
      <c r="BI140" s="1708"/>
      <c r="BJ140" s="1708"/>
      <c r="BK140" s="1708"/>
      <c r="BL140" s="1708"/>
      <c r="BM140" s="1708"/>
      <c r="BN140" s="1708"/>
      <c r="BO140" s="1708"/>
      <c r="BP140" s="1708"/>
      <c r="BQ140" s="1708"/>
      <c r="BR140" s="1708"/>
      <c r="BS140" s="1708"/>
      <c r="BT140" s="1708"/>
      <c r="BU140" s="1708"/>
      <c r="BV140" s="1708"/>
      <c r="BW140" s="1708"/>
      <c r="BX140" s="1708"/>
      <c r="BY140" s="1708"/>
      <c r="BZ140" s="1708"/>
      <c r="CA140" s="1708"/>
      <c r="CB140" s="1708"/>
      <c r="CC140" s="1708"/>
      <c r="CD140" s="1708"/>
      <c r="CE140" s="1708"/>
      <c r="CF140" s="1708"/>
      <c r="CG140" s="1708"/>
      <c r="CH140" s="1708"/>
      <c r="CI140" s="1708"/>
      <c r="CJ140" s="1708"/>
      <c r="CK140" s="1708"/>
      <c r="CL140" s="1708"/>
      <c r="CM140" s="1708"/>
      <c r="CN140" s="1708"/>
      <c r="CO140" s="1708"/>
      <c r="CP140" s="1708"/>
      <c r="CQ140" s="1708"/>
      <c r="CR140" s="1708"/>
      <c r="CS140" s="1708"/>
      <c r="CT140" s="1708"/>
      <c r="CU140" s="1708"/>
      <c r="CV140" s="1708"/>
      <c r="CW140" s="1708"/>
      <c r="CX140" s="1708"/>
      <c r="CY140" s="1708"/>
      <c r="CZ140" s="1708"/>
      <c r="DA140" s="1708"/>
      <c r="DB140" s="1708"/>
      <c r="DC140" s="1708"/>
      <c r="DD140" s="1708"/>
      <c r="DE140" s="1708"/>
      <c r="DF140" s="1708"/>
      <c r="DG140" s="1708"/>
      <c r="DH140" s="1708"/>
      <c r="DI140" s="1708"/>
      <c r="DJ140" s="1708"/>
      <c r="DK140" s="1708"/>
      <c r="DL140" s="1708"/>
      <c r="DM140" s="1708"/>
      <c r="DN140" s="1708"/>
      <c r="DO140" s="1708"/>
      <c r="DP140" s="1708"/>
      <c r="DQ140" s="1708"/>
      <c r="DR140" s="1708"/>
      <c r="DS140" s="1708"/>
      <c r="DT140" s="1708"/>
      <c r="DU140" s="1708"/>
      <c r="DV140" s="1708"/>
      <c r="DW140" s="1708"/>
      <c r="DX140" s="1708"/>
      <c r="DY140" s="1708"/>
      <c r="DZ140" s="1708"/>
      <c r="EA140" s="1708"/>
      <c r="EB140" s="1708"/>
      <c r="EC140" s="1708"/>
      <c r="ED140" s="1708"/>
      <c r="EE140" s="1708"/>
      <c r="EF140" s="1708"/>
      <c r="EG140" s="1708"/>
      <c r="EH140" s="1708"/>
      <c r="EI140" s="1708"/>
      <c r="EJ140" s="1708"/>
      <c r="EK140" s="1708"/>
      <c r="EL140" s="1708"/>
      <c r="EM140" s="1708"/>
      <c r="EN140" s="1708"/>
      <c r="EO140" s="1708"/>
      <c r="EP140" s="1708"/>
      <c r="EQ140" s="1708"/>
      <c r="ER140" s="1708"/>
      <c r="ES140" s="1708"/>
      <c r="ET140" s="1708"/>
      <c r="EU140" s="1708"/>
      <c r="EV140" s="1708"/>
      <c r="EW140" s="1708"/>
      <c r="EX140" s="1708"/>
      <c r="EY140" s="1708"/>
      <c r="EZ140" s="1708"/>
      <c r="FA140" s="1708"/>
      <c r="FB140" s="1708"/>
      <c r="FC140" s="1708"/>
      <c r="FD140" s="1708"/>
      <c r="FE140" s="1708"/>
      <c r="FF140" s="1708"/>
      <c r="FG140" s="1708"/>
      <c r="FH140" s="1708"/>
      <c r="FI140" s="1708"/>
      <c r="FJ140" s="1708"/>
      <c r="FK140" s="1708"/>
      <c r="FL140" s="1708"/>
      <c r="FM140" s="1708"/>
      <c r="FN140" s="1708"/>
      <c r="FO140" s="1708"/>
      <c r="FP140" s="1708"/>
      <c r="FQ140" s="1708"/>
      <c r="FR140" s="1708"/>
      <c r="FS140" s="1708"/>
      <c r="FT140" s="1708"/>
      <c r="FU140" s="1708"/>
      <c r="FV140" s="1708"/>
      <c r="FW140" s="1708"/>
      <c r="FX140" s="1708"/>
      <c r="FY140" s="1708"/>
      <c r="FZ140" s="1708"/>
      <c r="GA140" s="1708"/>
      <c r="GB140" s="1708"/>
      <c r="GC140" s="1708"/>
      <c r="GD140" s="1708"/>
      <c r="GE140" s="1708"/>
      <c r="GF140" s="1708"/>
      <c r="GG140" s="1708"/>
      <c r="GH140" s="1708"/>
      <c r="GI140" s="1708"/>
      <c r="GJ140" s="1708"/>
      <c r="GK140" s="1708"/>
      <c r="GL140" s="1708"/>
      <c r="GM140" s="1708"/>
      <c r="GN140" s="1708"/>
      <c r="GO140" s="1708"/>
      <c r="GP140" s="1708"/>
      <c r="GQ140" s="1708"/>
      <c r="GR140" s="1708"/>
      <c r="GS140" s="1708"/>
      <c r="GT140" s="1708"/>
      <c r="GU140" s="1708"/>
      <c r="GV140" s="1708"/>
      <c r="GW140" s="1708"/>
      <c r="GX140" s="1708"/>
      <c r="GY140" s="1708"/>
      <c r="GZ140" s="1708"/>
      <c r="HA140" s="1708"/>
      <c r="HB140" s="1708"/>
      <c r="HC140" s="1708"/>
      <c r="HD140" s="1708"/>
      <c r="HE140" s="1708"/>
      <c r="HF140" s="1708"/>
      <c r="HG140" s="1708"/>
      <c r="HH140" s="1708"/>
      <c r="HI140" s="1708"/>
      <c r="HJ140" s="1708"/>
      <c r="HK140" s="1708"/>
      <c r="HL140" s="1708"/>
      <c r="HM140" s="1708"/>
      <c r="HN140" s="1708"/>
      <c r="HO140" s="1708"/>
      <c r="HP140" s="1708"/>
      <c r="HQ140" s="1708"/>
      <c r="HR140" s="1708"/>
      <c r="HS140" s="1708"/>
      <c r="HT140" s="1708"/>
      <c r="HU140" s="1708"/>
      <c r="HV140" s="1708"/>
      <c r="HW140" s="1708"/>
      <c r="HX140" s="1708"/>
      <c r="HY140" s="1708"/>
      <c r="HZ140" s="1708"/>
      <c r="IA140" s="1708"/>
      <c r="IB140" s="1708"/>
      <c r="IC140" s="1708"/>
      <c r="ID140" s="1708"/>
      <c r="IE140" s="1708"/>
      <c r="IF140" s="1708"/>
      <c r="IG140" s="1708"/>
      <c r="IH140" s="1708"/>
      <c r="II140" s="1708"/>
      <c r="IJ140" s="1708"/>
      <c r="IK140" s="1708"/>
      <c r="IL140" s="1708"/>
      <c r="IM140" s="1708"/>
      <c r="IN140" s="1708"/>
      <c r="IO140" s="1708"/>
      <c r="IP140" s="1708"/>
      <c r="IQ140" s="1708"/>
      <c r="IR140" s="1708"/>
      <c r="IS140" s="1708"/>
      <c r="IT140" s="1708"/>
      <c r="IU140" s="1708"/>
      <c r="IV140" s="1708"/>
    </row>
    <row r="141" spans="1:256" s="57" customFormat="1" x14ac:dyDescent="0.25">
      <c r="B141" s="1836"/>
      <c r="G141" s="1849"/>
      <c r="J141" s="1850"/>
      <c r="K141" s="1850"/>
      <c r="S141" s="1708"/>
      <c r="T141" s="1708"/>
      <c r="U141" s="1708"/>
      <c r="V141" s="1708"/>
      <c r="W141" s="1708"/>
      <c r="X141" s="1708"/>
      <c r="Y141" s="1708"/>
      <c r="Z141" s="1708"/>
      <c r="AA141" s="1708"/>
      <c r="AB141" s="1708"/>
      <c r="AC141" s="1708"/>
      <c r="AD141" s="1708"/>
      <c r="AE141" s="1708"/>
      <c r="AF141" s="1708"/>
      <c r="AG141" s="1708"/>
      <c r="AH141" s="1708"/>
      <c r="AI141" s="1708"/>
      <c r="AJ141" s="1708"/>
      <c r="AK141" s="1708"/>
      <c r="AL141" s="1708"/>
      <c r="AM141" s="1708"/>
      <c r="AN141" s="1708"/>
      <c r="AO141" s="1708"/>
      <c r="AP141" s="1708"/>
      <c r="AQ141" s="1708"/>
      <c r="AR141" s="1708"/>
      <c r="AS141" s="1708"/>
      <c r="AT141" s="1708"/>
      <c r="AU141" s="1708"/>
      <c r="AV141" s="1708"/>
      <c r="AW141" s="1708"/>
      <c r="AX141" s="1708"/>
      <c r="AY141" s="1708"/>
      <c r="AZ141" s="1708"/>
      <c r="BA141" s="1708"/>
      <c r="BB141" s="1708"/>
      <c r="BC141" s="1708"/>
      <c r="BD141" s="1708"/>
      <c r="BE141" s="1708"/>
      <c r="BF141" s="1708"/>
      <c r="BG141" s="1708"/>
      <c r="BH141" s="1708"/>
      <c r="BI141" s="1708"/>
      <c r="BJ141" s="1708"/>
      <c r="BK141" s="1708"/>
      <c r="BL141" s="1708"/>
      <c r="BM141" s="1708"/>
      <c r="BN141" s="1708"/>
      <c r="BO141" s="1708"/>
      <c r="BP141" s="1708"/>
      <c r="BQ141" s="1708"/>
      <c r="BR141" s="1708"/>
      <c r="BS141" s="1708"/>
      <c r="BT141" s="1708"/>
      <c r="BU141" s="1708"/>
      <c r="BV141" s="1708"/>
      <c r="BW141" s="1708"/>
      <c r="BX141" s="1708"/>
      <c r="BY141" s="1708"/>
      <c r="BZ141" s="1708"/>
      <c r="CA141" s="1708"/>
      <c r="CB141" s="1708"/>
      <c r="CC141" s="1708"/>
      <c r="CD141" s="1708"/>
      <c r="CE141" s="1708"/>
      <c r="CF141" s="1708"/>
      <c r="CG141" s="1708"/>
      <c r="CH141" s="1708"/>
      <c r="CI141" s="1708"/>
      <c r="CJ141" s="1708"/>
      <c r="CK141" s="1708"/>
      <c r="CL141" s="1708"/>
      <c r="CM141" s="1708"/>
      <c r="CN141" s="1708"/>
      <c r="CO141" s="1708"/>
      <c r="CP141" s="1708"/>
      <c r="CQ141" s="1708"/>
      <c r="CR141" s="1708"/>
      <c r="CS141" s="1708"/>
      <c r="CT141" s="1708"/>
      <c r="CU141" s="1708"/>
      <c r="CV141" s="1708"/>
      <c r="CW141" s="1708"/>
      <c r="CX141" s="1708"/>
      <c r="CY141" s="1708"/>
      <c r="CZ141" s="1708"/>
      <c r="DA141" s="1708"/>
      <c r="DB141" s="1708"/>
      <c r="DC141" s="1708"/>
      <c r="DD141" s="1708"/>
      <c r="DE141" s="1708"/>
      <c r="DF141" s="1708"/>
      <c r="DG141" s="1708"/>
      <c r="DH141" s="1708"/>
      <c r="DI141" s="1708"/>
      <c r="DJ141" s="1708"/>
      <c r="DK141" s="1708"/>
      <c r="DL141" s="1708"/>
      <c r="DM141" s="1708"/>
      <c r="DN141" s="1708"/>
      <c r="DO141" s="1708"/>
      <c r="DP141" s="1708"/>
      <c r="DQ141" s="1708"/>
      <c r="DR141" s="1708"/>
      <c r="DS141" s="1708"/>
      <c r="DT141" s="1708"/>
      <c r="DU141" s="1708"/>
      <c r="DV141" s="1708"/>
      <c r="DW141" s="1708"/>
      <c r="DX141" s="1708"/>
      <c r="DY141" s="1708"/>
      <c r="DZ141" s="1708"/>
      <c r="EA141" s="1708"/>
      <c r="EB141" s="1708"/>
      <c r="EC141" s="1708"/>
      <c r="ED141" s="1708"/>
      <c r="EE141" s="1708"/>
      <c r="EF141" s="1708"/>
      <c r="EG141" s="1708"/>
      <c r="EH141" s="1708"/>
      <c r="EI141" s="1708"/>
      <c r="EJ141" s="1708"/>
      <c r="EK141" s="1708"/>
      <c r="EL141" s="1708"/>
      <c r="EM141" s="1708"/>
      <c r="EN141" s="1708"/>
      <c r="EO141" s="1708"/>
      <c r="EP141" s="1708"/>
      <c r="EQ141" s="1708"/>
      <c r="ER141" s="1708"/>
      <c r="ES141" s="1708"/>
      <c r="ET141" s="1708"/>
      <c r="EU141" s="1708"/>
      <c r="EV141" s="1708"/>
      <c r="EW141" s="1708"/>
      <c r="EX141" s="1708"/>
      <c r="EY141" s="1708"/>
      <c r="EZ141" s="1708"/>
      <c r="FA141" s="1708"/>
      <c r="FB141" s="1708"/>
      <c r="FC141" s="1708"/>
      <c r="FD141" s="1708"/>
      <c r="FE141" s="1708"/>
      <c r="FF141" s="1708"/>
      <c r="FG141" s="1708"/>
      <c r="FH141" s="1708"/>
      <c r="FI141" s="1708"/>
      <c r="FJ141" s="1708"/>
      <c r="FK141" s="1708"/>
      <c r="FL141" s="1708"/>
      <c r="FM141" s="1708"/>
      <c r="FN141" s="1708"/>
      <c r="FO141" s="1708"/>
      <c r="FP141" s="1708"/>
      <c r="FQ141" s="1708"/>
      <c r="FR141" s="1708"/>
      <c r="FS141" s="1708"/>
      <c r="FT141" s="1708"/>
      <c r="FU141" s="1708"/>
      <c r="FV141" s="1708"/>
      <c r="FW141" s="1708"/>
      <c r="FX141" s="1708"/>
      <c r="FY141" s="1708"/>
      <c r="FZ141" s="1708"/>
      <c r="GA141" s="1708"/>
      <c r="GB141" s="1708"/>
      <c r="GC141" s="1708"/>
      <c r="GD141" s="1708"/>
      <c r="GE141" s="1708"/>
      <c r="GF141" s="1708"/>
      <c r="GG141" s="1708"/>
      <c r="GH141" s="1708"/>
      <c r="GI141" s="1708"/>
      <c r="GJ141" s="1708"/>
      <c r="GK141" s="1708"/>
      <c r="GL141" s="1708"/>
      <c r="GM141" s="1708"/>
      <c r="GN141" s="1708"/>
      <c r="GO141" s="1708"/>
      <c r="GP141" s="1708"/>
      <c r="GQ141" s="1708"/>
      <c r="GR141" s="1708"/>
      <c r="GS141" s="1708"/>
      <c r="GT141" s="1708"/>
      <c r="GU141" s="1708"/>
      <c r="GV141" s="1708"/>
      <c r="GW141" s="1708"/>
      <c r="GX141" s="1708"/>
      <c r="GY141" s="1708"/>
      <c r="GZ141" s="1708"/>
      <c r="HA141" s="1708"/>
      <c r="HB141" s="1708"/>
      <c r="HC141" s="1708"/>
      <c r="HD141" s="1708"/>
      <c r="HE141" s="1708"/>
      <c r="HF141" s="1708"/>
      <c r="HG141" s="1708"/>
      <c r="HH141" s="1708"/>
      <c r="HI141" s="1708"/>
      <c r="HJ141" s="1708"/>
      <c r="HK141" s="1708"/>
      <c r="HL141" s="1708"/>
      <c r="HM141" s="1708"/>
      <c r="HN141" s="1708"/>
      <c r="HO141" s="1708"/>
      <c r="HP141" s="1708"/>
      <c r="HQ141" s="1708"/>
      <c r="HR141" s="1708"/>
      <c r="HS141" s="1708"/>
      <c r="HT141" s="1708"/>
      <c r="HU141" s="1708"/>
      <c r="HV141" s="1708"/>
      <c r="HW141" s="1708"/>
      <c r="HX141" s="1708"/>
      <c r="HY141" s="1708"/>
      <c r="HZ141" s="1708"/>
      <c r="IA141" s="1708"/>
      <c r="IB141" s="1708"/>
      <c r="IC141" s="1708"/>
      <c r="ID141" s="1708"/>
      <c r="IE141" s="1708"/>
      <c r="IF141" s="1708"/>
      <c r="IG141" s="1708"/>
      <c r="IH141" s="1708"/>
      <c r="II141" s="1708"/>
      <c r="IJ141" s="1708"/>
      <c r="IK141" s="1708"/>
      <c r="IL141" s="1708"/>
      <c r="IM141" s="1708"/>
      <c r="IN141" s="1708"/>
      <c r="IO141" s="1708"/>
      <c r="IP141" s="1708"/>
      <c r="IQ141" s="1708"/>
      <c r="IR141" s="1708"/>
      <c r="IS141" s="1708"/>
      <c r="IT141" s="1708"/>
      <c r="IU141" s="1708"/>
      <c r="IV141" s="1708"/>
    </row>
    <row r="142" spans="1:256" s="57" customFormat="1" x14ac:dyDescent="0.25">
      <c r="B142" s="1836"/>
      <c r="G142" s="1849"/>
      <c r="J142" s="1850"/>
      <c r="K142" s="1850"/>
      <c r="S142" s="1708"/>
      <c r="T142" s="1708"/>
      <c r="U142" s="1708"/>
      <c r="V142" s="1708"/>
      <c r="W142" s="1708"/>
      <c r="X142" s="1708"/>
      <c r="Y142" s="1708"/>
      <c r="Z142" s="1708"/>
      <c r="AA142" s="1708"/>
      <c r="AB142" s="1708"/>
      <c r="AC142" s="1708"/>
      <c r="AD142" s="1708"/>
      <c r="AE142" s="1708"/>
      <c r="AF142" s="1708"/>
      <c r="AG142" s="1708"/>
      <c r="AH142" s="1708"/>
      <c r="AI142" s="1708"/>
      <c r="AJ142" s="1708"/>
      <c r="AK142" s="1708"/>
      <c r="AL142" s="1708"/>
      <c r="AM142" s="1708"/>
      <c r="AN142" s="1708"/>
      <c r="AO142" s="1708"/>
      <c r="AP142" s="1708"/>
      <c r="AQ142" s="1708"/>
      <c r="AR142" s="1708"/>
      <c r="AS142" s="1708"/>
      <c r="AT142" s="1708"/>
      <c r="AU142" s="1708"/>
      <c r="AV142" s="1708"/>
      <c r="AW142" s="1708"/>
      <c r="AX142" s="1708"/>
      <c r="AY142" s="1708"/>
      <c r="AZ142" s="1708"/>
      <c r="BA142" s="1708"/>
      <c r="BB142" s="1708"/>
      <c r="BC142" s="1708"/>
      <c r="BD142" s="1708"/>
      <c r="BE142" s="1708"/>
      <c r="BF142" s="1708"/>
      <c r="BG142" s="1708"/>
      <c r="BH142" s="1708"/>
      <c r="BI142" s="1708"/>
      <c r="BJ142" s="1708"/>
      <c r="BK142" s="1708"/>
      <c r="BL142" s="1708"/>
      <c r="BM142" s="1708"/>
      <c r="BN142" s="1708"/>
      <c r="BO142" s="1708"/>
      <c r="BP142" s="1708"/>
      <c r="BQ142" s="1708"/>
      <c r="BR142" s="1708"/>
      <c r="BS142" s="1708"/>
      <c r="BT142" s="1708"/>
      <c r="BU142" s="1708"/>
      <c r="BV142" s="1708"/>
      <c r="BW142" s="1708"/>
      <c r="BX142" s="1708"/>
      <c r="BY142" s="1708"/>
      <c r="BZ142" s="1708"/>
      <c r="CA142" s="1708"/>
      <c r="CB142" s="1708"/>
      <c r="CC142" s="1708"/>
      <c r="CD142" s="1708"/>
      <c r="CE142" s="1708"/>
      <c r="CF142" s="1708"/>
      <c r="CG142" s="1708"/>
      <c r="CH142" s="1708"/>
      <c r="CI142" s="1708"/>
      <c r="CJ142" s="1708"/>
      <c r="CK142" s="1708"/>
      <c r="CL142" s="1708"/>
      <c r="CM142" s="1708"/>
      <c r="CN142" s="1708"/>
      <c r="CO142" s="1708"/>
      <c r="CP142" s="1708"/>
      <c r="CQ142" s="1708"/>
      <c r="CR142" s="1708"/>
      <c r="CS142" s="1708"/>
      <c r="CT142" s="1708"/>
      <c r="CU142" s="1708"/>
      <c r="CV142" s="1708"/>
      <c r="CW142" s="1708"/>
      <c r="CX142" s="1708"/>
      <c r="CY142" s="1708"/>
      <c r="CZ142" s="1708"/>
      <c r="DA142" s="1708"/>
      <c r="DB142" s="1708"/>
      <c r="DC142" s="1708"/>
      <c r="DD142" s="1708"/>
      <c r="DE142" s="1708"/>
      <c r="DF142" s="1708"/>
      <c r="DG142" s="1708"/>
      <c r="DH142" s="1708"/>
      <c r="DI142" s="1708"/>
      <c r="DJ142" s="1708"/>
      <c r="DK142" s="1708"/>
      <c r="DL142" s="1708"/>
      <c r="DM142" s="1708"/>
      <c r="DN142" s="1708"/>
      <c r="DO142" s="1708"/>
      <c r="DP142" s="1708"/>
      <c r="DQ142" s="1708"/>
      <c r="DR142" s="1708"/>
      <c r="DS142" s="1708"/>
      <c r="DT142" s="1708"/>
      <c r="DU142" s="1708"/>
      <c r="DV142" s="1708"/>
      <c r="DW142" s="1708"/>
      <c r="DX142" s="1708"/>
      <c r="DY142" s="1708"/>
      <c r="DZ142" s="1708"/>
      <c r="EA142" s="1708"/>
      <c r="EB142" s="1708"/>
      <c r="EC142" s="1708"/>
      <c r="ED142" s="1708"/>
      <c r="EE142" s="1708"/>
      <c r="EF142" s="1708"/>
      <c r="EG142" s="1708"/>
      <c r="EH142" s="1708"/>
      <c r="EI142" s="1708"/>
      <c r="EJ142" s="1708"/>
      <c r="EK142" s="1708"/>
      <c r="EL142" s="1708"/>
      <c r="EM142" s="1708"/>
      <c r="EN142" s="1708"/>
      <c r="EO142" s="1708"/>
      <c r="EP142" s="1708"/>
      <c r="EQ142" s="1708"/>
      <c r="ER142" s="1708"/>
      <c r="ES142" s="1708"/>
      <c r="ET142" s="1708"/>
      <c r="EU142" s="1708"/>
      <c r="EV142" s="1708"/>
      <c r="EW142" s="1708"/>
      <c r="EX142" s="1708"/>
      <c r="EY142" s="1708"/>
      <c r="EZ142" s="1708"/>
      <c r="FA142" s="1708"/>
      <c r="FB142" s="1708"/>
      <c r="FC142" s="1708"/>
      <c r="FD142" s="1708"/>
      <c r="FE142" s="1708"/>
      <c r="FF142" s="1708"/>
      <c r="FG142" s="1708"/>
      <c r="FH142" s="1708"/>
      <c r="FI142" s="1708"/>
      <c r="FJ142" s="1708"/>
      <c r="FK142" s="1708"/>
      <c r="FL142" s="1708"/>
      <c r="FM142" s="1708"/>
      <c r="FN142" s="1708"/>
      <c r="FO142" s="1708"/>
      <c r="FP142" s="1708"/>
      <c r="FQ142" s="1708"/>
      <c r="FR142" s="1708"/>
      <c r="FS142" s="1708"/>
      <c r="FT142" s="1708"/>
      <c r="FU142" s="1708"/>
      <c r="FV142" s="1708"/>
      <c r="FW142" s="1708"/>
      <c r="FX142" s="1708"/>
      <c r="FY142" s="1708"/>
      <c r="FZ142" s="1708"/>
      <c r="GA142" s="1708"/>
      <c r="GB142" s="1708"/>
      <c r="GC142" s="1708"/>
      <c r="GD142" s="1708"/>
      <c r="GE142" s="1708"/>
      <c r="GF142" s="1708"/>
      <c r="GG142" s="1708"/>
      <c r="GH142" s="1708"/>
      <c r="GI142" s="1708"/>
      <c r="GJ142" s="1708"/>
      <c r="GK142" s="1708"/>
      <c r="GL142" s="1708"/>
      <c r="GM142" s="1708"/>
      <c r="GN142" s="1708"/>
      <c r="GO142" s="1708"/>
      <c r="GP142" s="1708"/>
      <c r="GQ142" s="1708"/>
      <c r="GR142" s="1708"/>
      <c r="GS142" s="1708"/>
      <c r="GT142" s="1708"/>
      <c r="GU142" s="1708"/>
      <c r="GV142" s="1708"/>
      <c r="GW142" s="1708"/>
      <c r="GX142" s="1708"/>
      <c r="GY142" s="1708"/>
      <c r="GZ142" s="1708"/>
      <c r="HA142" s="1708"/>
      <c r="HB142" s="1708"/>
      <c r="HC142" s="1708"/>
      <c r="HD142" s="1708"/>
      <c r="HE142" s="1708"/>
      <c r="HF142" s="1708"/>
      <c r="HG142" s="1708"/>
      <c r="HH142" s="1708"/>
      <c r="HI142" s="1708"/>
      <c r="HJ142" s="1708"/>
      <c r="HK142" s="1708"/>
      <c r="HL142" s="1708"/>
      <c r="HM142" s="1708"/>
      <c r="HN142" s="1708"/>
      <c r="HO142" s="1708"/>
      <c r="HP142" s="1708"/>
      <c r="HQ142" s="1708"/>
      <c r="HR142" s="1708"/>
      <c r="HS142" s="1708"/>
      <c r="HT142" s="1708"/>
      <c r="HU142" s="1708"/>
      <c r="HV142" s="1708"/>
      <c r="HW142" s="1708"/>
      <c r="HX142" s="1708"/>
      <c r="HY142" s="1708"/>
      <c r="HZ142" s="1708"/>
      <c r="IA142" s="1708"/>
      <c r="IB142" s="1708"/>
      <c r="IC142" s="1708"/>
      <c r="ID142" s="1708"/>
      <c r="IE142" s="1708"/>
      <c r="IF142" s="1708"/>
      <c r="IG142" s="1708"/>
      <c r="IH142" s="1708"/>
      <c r="II142" s="1708"/>
      <c r="IJ142" s="1708"/>
      <c r="IK142" s="1708"/>
      <c r="IL142" s="1708"/>
      <c r="IM142" s="1708"/>
      <c r="IN142" s="1708"/>
      <c r="IO142" s="1708"/>
      <c r="IP142" s="1708"/>
      <c r="IQ142" s="1708"/>
      <c r="IR142" s="1708"/>
      <c r="IS142" s="1708"/>
      <c r="IT142" s="1708"/>
      <c r="IU142" s="1708"/>
      <c r="IV142" s="1708"/>
    </row>
    <row r="143" spans="1:256" s="57" customFormat="1" x14ac:dyDescent="0.25">
      <c r="B143" s="1836"/>
      <c r="G143" s="1849"/>
      <c r="J143" s="1850"/>
      <c r="K143" s="1850"/>
      <c r="S143" s="1708"/>
      <c r="T143" s="1708"/>
      <c r="U143" s="1708"/>
      <c r="V143" s="1708"/>
      <c r="W143" s="1708"/>
      <c r="X143" s="1708"/>
      <c r="Y143" s="1708"/>
      <c r="Z143" s="1708"/>
      <c r="AA143" s="1708"/>
      <c r="AB143" s="1708"/>
      <c r="AC143" s="1708"/>
      <c r="AD143" s="1708"/>
      <c r="AE143" s="1708"/>
      <c r="AF143" s="1708"/>
      <c r="AG143" s="1708"/>
      <c r="AH143" s="1708"/>
      <c r="AI143" s="1708"/>
      <c r="AJ143" s="1708"/>
      <c r="AK143" s="1708"/>
      <c r="AL143" s="1708"/>
      <c r="AM143" s="1708"/>
      <c r="AN143" s="1708"/>
      <c r="AO143" s="1708"/>
      <c r="AP143" s="1708"/>
      <c r="AQ143" s="1708"/>
      <c r="AR143" s="1708"/>
      <c r="AS143" s="1708"/>
      <c r="AT143" s="1708"/>
      <c r="AU143" s="1708"/>
      <c r="AV143" s="1708"/>
      <c r="AW143" s="1708"/>
      <c r="AX143" s="1708"/>
      <c r="AY143" s="1708"/>
      <c r="AZ143" s="1708"/>
      <c r="BA143" s="1708"/>
      <c r="BB143" s="1708"/>
      <c r="BC143" s="1708"/>
      <c r="BD143" s="1708"/>
      <c r="BE143" s="1708"/>
      <c r="BF143" s="1708"/>
      <c r="BG143" s="1708"/>
      <c r="BH143" s="1708"/>
      <c r="BI143" s="1708"/>
      <c r="BJ143" s="1708"/>
      <c r="BK143" s="1708"/>
      <c r="BL143" s="1708"/>
      <c r="BM143" s="1708"/>
      <c r="BN143" s="1708"/>
      <c r="BO143" s="1708"/>
      <c r="BP143" s="1708"/>
      <c r="BQ143" s="1708"/>
      <c r="BR143" s="1708"/>
      <c r="BS143" s="1708"/>
      <c r="BT143" s="1708"/>
      <c r="BU143" s="1708"/>
      <c r="BV143" s="1708"/>
      <c r="BW143" s="1708"/>
      <c r="BX143" s="1708"/>
      <c r="BY143" s="1708"/>
      <c r="BZ143" s="1708"/>
      <c r="CA143" s="1708"/>
      <c r="CB143" s="1708"/>
      <c r="CC143" s="1708"/>
      <c r="CD143" s="1708"/>
      <c r="CE143" s="1708"/>
      <c r="CF143" s="1708"/>
      <c r="CG143" s="1708"/>
      <c r="CH143" s="1708"/>
      <c r="CI143" s="1708"/>
      <c r="CJ143" s="1708"/>
      <c r="CK143" s="1708"/>
      <c r="CL143" s="1708"/>
      <c r="CM143" s="1708"/>
      <c r="CN143" s="1708"/>
      <c r="CO143" s="1708"/>
      <c r="CP143" s="1708"/>
      <c r="CQ143" s="1708"/>
      <c r="CR143" s="1708"/>
      <c r="CS143" s="1708"/>
      <c r="CT143" s="1708"/>
      <c r="CU143" s="1708"/>
      <c r="CV143" s="1708"/>
      <c r="CW143" s="1708"/>
      <c r="CX143" s="1708"/>
      <c r="CY143" s="1708"/>
      <c r="CZ143" s="1708"/>
      <c r="DA143" s="1708"/>
      <c r="DB143" s="1708"/>
      <c r="DC143" s="1708"/>
      <c r="DD143" s="1708"/>
      <c r="DE143" s="1708"/>
      <c r="DF143" s="1708"/>
      <c r="DG143" s="1708"/>
      <c r="DH143" s="1708"/>
      <c r="DI143" s="1708"/>
      <c r="DJ143" s="1708"/>
      <c r="DK143" s="1708"/>
      <c r="DL143" s="1708"/>
      <c r="DM143" s="1708"/>
      <c r="DN143" s="1708"/>
      <c r="DO143" s="1708"/>
      <c r="DP143" s="1708"/>
      <c r="DQ143" s="1708"/>
      <c r="DR143" s="1708"/>
      <c r="DS143" s="1708"/>
      <c r="DT143" s="1708"/>
      <c r="DU143" s="1708"/>
      <c r="DV143" s="1708"/>
      <c r="DW143" s="1708"/>
      <c r="DX143" s="1708"/>
      <c r="DY143" s="1708"/>
      <c r="DZ143" s="1708"/>
      <c r="EA143" s="1708"/>
      <c r="EB143" s="1708"/>
      <c r="EC143" s="1708"/>
      <c r="ED143" s="1708"/>
      <c r="EE143" s="1708"/>
      <c r="EF143" s="1708"/>
      <c r="EG143" s="1708"/>
      <c r="EH143" s="1708"/>
      <c r="EI143" s="1708"/>
      <c r="EJ143" s="1708"/>
      <c r="EK143" s="1708"/>
      <c r="EL143" s="1708"/>
      <c r="EM143" s="1708"/>
      <c r="EN143" s="1708"/>
      <c r="EO143" s="1708"/>
      <c r="EP143" s="1708"/>
      <c r="EQ143" s="1708"/>
      <c r="ER143" s="1708"/>
      <c r="ES143" s="1708"/>
      <c r="ET143" s="1708"/>
      <c r="EU143" s="1708"/>
      <c r="EV143" s="1708"/>
      <c r="EW143" s="1708"/>
      <c r="EX143" s="1708"/>
      <c r="EY143" s="1708"/>
      <c r="EZ143" s="1708"/>
      <c r="FA143" s="1708"/>
      <c r="FB143" s="1708"/>
      <c r="FC143" s="1708"/>
      <c r="FD143" s="1708"/>
      <c r="FE143" s="1708"/>
      <c r="FF143" s="1708"/>
      <c r="FG143" s="1708"/>
      <c r="FH143" s="1708"/>
      <c r="FI143" s="1708"/>
      <c r="FJ143" s="1708"/>
      <c r="FK143" s="1708"/>
      <c r="FL143" s="1708"/>
      <c r="FM143" s="1708"/>
      <c r="FN143" s="1708"/>
      <c r="FO143" s="1708"/>
      <c r="FP143" s="1708"/>
      <c r="FQ143" s="1708"/>
      <c r="FR143" s="1708"/>
      <c r="FS143" s="1708"/>
      <c r="FT143" s="1708"/>
      <c r="FU143" s="1708"/>
      <c r="FV143" s="1708"/>
      <c r="FW143" s="1708"/>
      <c r="FX143" s="1708"/>
      <c r="FY143" s="1708"/>
      <c r="FZ143" s="1708"/>
      <c r="GA143" s="1708"/>
      <c r="GB143" s="1708"/>
      <c r="GC143" s="1708"/>
      <c r="GD143" s="1708"/>
      <c r="GE143" s="1708"/>
      <c r="GF143" s="1708"/>
      <c r="GG143" s="1708"/>
      <c r="GH143" s="1708"/>
      <c r="GI143" s="1708"/>
      <c r="GJ143" s="1708"/>
      <c r="GK143" s="1708"/>
      <c r="GL143" s="1708"/>
      <c r="GM143" s="1708"/>
      <c r="GN143" s="1708"/>
      <c r="GO143" s="1708"/>
      <c r="GP143" s="1708"/>
      <c r="GQ143" s="1708"/>
      <c r="GR143" s="1708"/>
      <c r="GS143" s="1708"/>
      <c r="GT143" s="1708"/>
      <c r="GU143" s="1708"/>
      <c r="GV143" s="1708"/>
      <c r="GW143" s="1708"/>
      <c r="GX143" s="1708"/>
      <c r="GY143" s="1708"/>
      <c r="GZ143" s="1708"/>
      <c r="HA143" s="1708"/>
      <c r="HB143" s="1708"/>
      <c r="HC143" s="1708"/>
      <c r="HD143" s="1708"/>
      <c r="HE143" s="1708"/>
      <c r="HF143" s="1708"/>
      <c r="HG143" s="1708"/>
      <c r="HH143" s="1708"/>
      <c r="HI143" s="1708"/>
      <c r="HJ143" s="1708"/>
      <c r="HK143" s="1708"/>
      <c r="HL143" s="1708"/>
      <c r="HM143" s="1708"/>
      <c r="HN143" s="1708"/>
      <c r="HO143" s="1708"/>
      <c r="HP143" s="1708"/>
      <c r="HQ143" s="1708"/>
      <c r="HR143" s="1708"/>
      <c r="HS143" s="1708"/>
      <c r="HT143" s="1708"/>
      <c r="HU143" s="1708"/>
      <c r="HV143" s="1708"/>
      <c r="HW143" s="1708"/>
      <c r="HX143" s="1708"/>
      <c r="HY143" s="1708"/>
      <c r="HZ143" s="1708"/>
      <c r="IA143" s="1708"/>
      <c r="IB143" s="1708"/>
      <c r="IC143" s="1708"/>
      <c r="ID143" s="1708"/>
      <c r="IE143" s="1708"/>
      <c r="IF143" s="1708"/>
      <c r="IG143" s="1708"/>
      <c r="IH143" s="1708"/>
      <c r="II143" s="1708"/>
      <c r="IJ143" s="1708"/>
      <c r="IK143" s="1708"/>
      <c r="IL143" s="1708"/>
      <c r="IM143" s="1708"/>
      <c r="IN143" s="1708"/>
      <c r="IO143" s="1708"/>
      <c r="IP143" s="1708"/>
      <c r="IQ143" s="1708"/>
      <c r="IR143" s="1708"/>
      <c r="IS143" s="1708"/>
      <c r="IT143" s="1708"/>
      <c r="IU143" s="1708"/>
      <c r="IV143" s="1708"/>
    </row>
    <row r="144" spans="1:256" s="57" customFormat="1" x14ac:dyDescent="0.25">
      <c r="B144" s="1836"/>
      <c r="G144" s="1849"/>
      <c r="J144" s="1850"/>
      <c r="K144" s="1850"/>
      <c r="S144" s="1708"/>
      <c r="T144" s="1708"/>
      <c r="U144" s="1708"/>
      <c r="V144" s="1708"/>
      <c r="W144" s="1708"/>
      <c r="X144" s="1708"/>
      <c r="Y144" s="1708"/>
      <c r="Z144" s="1708"/>
      <c r="AA144" s="1708"/>
      <c r="AB144" s="1708"/>
      <c r="AC144" s="1708"/>
      <c r="AD144" s="1708"/>
      <c r="AE144" s="1708"/>
      <c r="AF144" s="1708"/>
      <c r="AG144" s="1708"/>
      <c r="AH144" s="1708"/>
      <c r="AI144" s="1708"/>
      <c r="AJ144" s="1708"/>
      <c r="AK144" s="1708"/>
      <c r="AL144" s="1708"/>
      <c r="AM144" s="1708"/>
      <c r="AN144" s="1708"/>
      <c r="AO144" s="1708"/>
      <c r="AP144" s="1708"/>
      <c r="AQ144" s="1708"/>
      <c r="AR144" s="1708"/>
      <c r="AS144" s="1708"/>
      <c r="AT144" s="1708"/>
      <c r="AU144" s="1708"/>
      <c r="AV144" s="1708"/>
      <c r="AW144" s="1708"/>
      <c r="AX144" s="1708"/>
      <c r="AY144" s="1708"/>
      <c r="AZ144" s="1708"/>
      <c r="BA144" s="1708"/>
      <c r="BB144" s="1708"/>
      <c r="BC144" s="1708"/>
      <c r="BD144" s="1708"/>
      <c r="BE144" s="1708"/>
      <c r="BF144" s="1708"/>
      <c r="BG144" s="1708"/>
      <c r="BH144" s="1708"/>
      <c r="BI144" s="1708"/>
      <c r="BJ144" s="1708"/>
      <c r="BK144" s="1708"/>
      <c r="BL144" s="1708"/>
      <c r="BM144" s="1708"/>
      <c r="BN144" s="1708"/>
      <c r="BO144" s="1708"/>
      <c r="BP144" s="1708"/>
      <c r="BQ144" s="1708"/>
      <c r="BR144" s="1708"/>
      <c r="BS144" s="1708"/>
      <c r="BT144" s="1708"/>
      <c r="BU144" s="1708"/>
      <c r="BV144" s="1708"/>
      <c r="BW144" s="1708"/>
      <c r="BX144" s="1708"/>
      <c r="BY144" s="1708"/>
      <c r="BZ144" s="1708"/>
      <c r="CA144" s="1708"/>
      <c r="CB144" s="1708"/>
      <c r="CC144" s="1708"/>
      <c r="CD144" s="1708"/>
      <c r="CE144" s="1708"/>
      <c r="CF144" s="1708"/>
      <c r="CG144" s="1708"/>
      <c r="CH144" s="1708"/>
      <c r="CI144" s="1708"/>
      <c r="CJ144" s="1708"/>
      <c r="CK144" s="1708"/>
      <c r="CL144" s="1708"/>
      <c r="CM144" s="1708"/>
      <c r="CN144" s="1708"/>
      <c r="CO144" s="1708"/>
      <c r="CP144" s="1708"/>
      <c r="CQ144" s="1708"/>
      <c r="CR144" s="1708"/>
      <c r="CS144" s="1708"/>
      <c r="CT144" s="1708"/>
      <c r="CU144" s="1708"/>
      <c r="CV144" s="1708"/>
      <c r="CW144" s="1708"/>
      <c r="CX144" s="1708"/>
      <c r="CY144" s="1708"/>
      <c r="CZ144" s="1708"/>
      <c r="DA144" s="1708"/>
      <c r="DB144" s="1708"/>
      <c r="DC144" s="1708"/>
      <c r="DD144" s="1708"/>
      <c r="DE144" s="1708"/>
      <c r="DF144" s="1708"/>
      <c r="DG144" s="1708"/>
      <c r="DH144" s="1708"/>
      <c r="DI144" s="1708"/>
      <c r="DJ144" s="1708"/>
      <c r="DK144" s="1708"/>
      <c r="DL144" s="1708"/>
      <c r="DM144" s="1708"/>
      <c r="DN144" s="1708"/>
      <c r="DO144" s="1708"/>
      <c r="DP144" s="1708"/>
      <c r="DQ144" s="1708"/>
      <c r="DR144" s="1708"/>
      <c r="DS144" s="1708"/>
      <c r="DT144" s="1708"/>
      <c r="DU144" s="1708"/>
      <c r="DV144" s="1708"/>
      <c r="DW144" s="1708"/>
      <c r="DX144" s="1708"/>
      <c r="DY144" s="1708"/>
      <c r="DZ144" s="1708"/>
      <c r="EA144" s="1708"/>
      <c r="EB144" s="1708"/>
      <c r="EC144" s="1708"/>
      <c r="ED144" s="1708"/>
      <c r="EE144" s="1708"/>
      <c r="EF144" s="1708"/>
      <c r="EG144" s="1708"/>
      <c r="EH144" s="1708"/>
      <c r="EI144" s="1708"/>
      <c r="EJ144" s="1708"/>
      <c r="EK144" s="1708"/>
      <c r="EL144" s="1708"/>
      <c r="EM144" s="1708"/>
      <c r="EN144" s="1708"/>
      <c r="EO144" s="1708"/>
      <c r="EP144" s="1708"/>
      <c r="EQ144" s="1708"/>
      <c r="ER144" s="1708"/>
      <c r="ES144" s="1708"/>
      <c r="ET144" s="1708"/>
      <c r="EU144" s="1708"/>
      <c r="EV144" s="1708"/>
      <c r="EW144" s="1708"/>
      <c r="EX144" s="1708"/>
      <c r="EY144" s="1708"/>
      <c r="EZ144" s="1708"/>
      <c r="FA144" s="1708"/>
      <c r="FB144" s="1708"/>
      <c r="FC144" s="1708"/>
      <c r="FD144" s="1708"/>
      <c r="FE144" s="1708"/>
      <c r="FF144" s="1708"/>
      <c r="FG144" s="1708"/>
      <c r="FH144" s="1708"/>
      <c r="FI144" s="1708"/>
      <c r="FJ144" s="1708"/>
      <c r="FK144" s="1708"/>
      <c r="FL144" s="1708"/>
      <c r="FM144" s="1708"/>
      <c r="FN144" s="1708"/>
      <c r="FO144" s="1708"/>
      <c r="FP144" s="1708"/>
      <c r="FQ144" s="1708"/>
      <c r="FR144" s="1708"/>
      <c r="FS144" s="1708"/>
      <c r="FT144" s="1708"/>
      <c r="FU144" s="1708"/>
      <c r="FV144" s="1708"/>
      <c r="FW144" s="1708"/>
      <c r="FX144" s="1708"/>
      <c r="FY144" s="1708"/>
      <c r="FZ144" s="1708"/>
      <c r="GA144" s="1708"/>
      <c r="GB144" s="1708"/>
      <c r="GC144" s="1708"/>
      <c r="GD144" s="1708"/>
      <c r="GE144" s="1708"/>
      <c r="GF144" s="1708"/>
      <c r="GG144" s="1708"/>
      <c r="GH144" s="1708"/>
      <c r="GI144" s="1708"/>
      <c r="GJ144" s="1708"/>
      <c r="GK144" s="1708"/>
      <c r="GL144" s="1708"/>
      <c r="GM144" s="1708"/>
      <c r="GN144" s="1708"/>
      <c r="GO144" s="1708"/>
      <c r="GP144" s="1708"/>
      <c r="GQ144" s="1708"/>
      <c r="GR144" s="1708"/>
      <c r="GS144" s="1708"/>
      <c r="GT144" s="1708"/>
      <c r="GU144" s="1708"/>
      <c r="GV144" s="1708"/>
      <c r="GW144" s="1708"/>
      <c r="GX144" s="1708"/>
      <c r="GY144" s="1708"/>
      <c r="GZ144" s="1708"/>
      <c r="HA144" s="1708"/>
      <c r="HB144" s="1708"/>
      <c r="HC144" s="1708"/>
      <c r="HD144" s="1708"/>
      <c r="HE144" s="1708"/>
      <c r="HF144" s="1708"/>
      <c r="HG144" s="1708"/>
      <c r="HH144" s="1708"/>
      <c r="HI144" s="1708"/>
      <c r="HJ144" s="1708"/>
      <c r="HK144" s="1708"/>
      <c r="HL144" s="1708"/>
      <c r="HM144" s="1708"/>
      <c r="HN144" s="1708"/>
      <c r="HO144" s="1708"/>
      <c r="HP144" s="1708"/>
      <c r="HQ144" s="1708"/>
      <c r="HR144" s="1708"/>
      <c r="HS144" s="1708"/>
      <c r="HT144" s="1708"/>
      <c r="HU144" s="1708"/>
      <c r="HV144" s="1708"/>
      <c r="HW144" s="1708"/>
      <c r="HX144" s="1708"/>
      <c r="HY144" s="1708"/>
      <c r="HZ144" s="1708"/>
      <c r="IA144" s="1708"/>
      <c r="IB144" s="1708"/>
      <c r="IC144" s="1708"/>
      <c r="ID144" s="1708"/>
      <c r="IE144" s="1708"/>
      <c r="IF144" s="1708"/>
      <c r="IG144" s="1708"/>
      <c r="IH144" s="1708"/>
      <c r="II144" s="1708"/>
      <c r="IJ144" s="1708"/>
      <c r="IK144" s="1708"/>
      <c r="IL144" s="1708"/>
      <c r="IM144" s="1708"/>
      <c r="IN144" s="1708"/>
      <c r="IO144" s="1708"/>
      <c r="IP144" s="1708"/>
      <c r="IQ144" s="1708"/>
      <c r="IR144" s="1708"/>
      <c r="IS144" s="1708"/>
      <c r="IT144" s="1708"/>
      <c r="IU144" s="1708"/>
      <c r="IV144" s="1708"/>
    </row>
    <row r="145" spans="2:256" s="57" customFormat="1" x14ac:dyDescent="0.25">
      <c r="B145" s="1836"/>
      <c r="G145" s="1849"/>
      <c r="J145" s="1850"/>
      <c r="K145" s="1850"/>
      <c r="S145" s="1708"/>
      <c r="T145" s="1708"/>
      <c r="U145" s="1708"/>
      <c r="V145" s="1708"/>
      <c r="W145" s="1708"/>
      <c r="X145" s="1708"/>
      <c r="Y145" s="1708"/>
      <c r="Z145" s="1708"/>
      <c r="AA145" s="1708"/>
      <c r="AB145" s="1708"/>
      <c r="AC145" s="1708"/>
      <c r="AD145" s="1708"/>
      <c r="AE145" s="1708"/>
      <c r="AF145" s="1708"/>
      <c r="AG145" s="1708"/>
      <c r="AH145" s="1708"/>
      <c r="AI145" s="1708"/>
      <c r="AJ145" s="1708"/>
      <c r="AK145" s="1708"/>
      <c r="AL145" s="1708"/>
      <c r="AM145" s="1708"/>
      <c r="AN145" s="1708"/>
      <c r="AO145" s="1708"/>
      <c r="AP145" s="1708"/>
      <c r="AQ145" s="1708"/>
      <c r="AR145" s="1708"/>
      <c r="AS145" s="1708"/>
      <c r="AT145" s="1708"/>
      <c r="AU145" s="1708"/>
      <c r="AV145" s="1708"/>
      <c r="AW145" s="1708"/>
      <c r="AX145" s="1708"/>
      <c r="AY145" s="1708"/>
      <c r="AZ145" s="1708"/>
      <c r="BA145" s="1708"/>
      <c r="BB145" s="1708"/>
      <c r="BC145" s="1708"/>
      <c r="BD145" s="1708"/>
      <c r="BE145" s="1708"/>
      <c r="BF145" s="1708"/>
      <c r="BG145" s="1708"/>
      <c r="BH145" s="1708"/>
      <c r="BI145" s="1708"/>
      <c r="BJ145" s="1708"/>
      <c r="BK145" s="1708"/>
      <c r="BL145" s="1708"/>
      <c r="BM145" s="1708"/>
      <c r="BN145" s="1708"/>
      <c r="BO145" s="1708"/>
      <c r="BP145" s="1708"/>
      <c r="BQ145" s="1708"/>
      <c r="BR145" s="1708"/>
      <c r="BS145" s="1708"/>
      <c r="BT145" s="1708"/>
      <c r="BU145" s="1708"/>
      <c r="BV145" s="1708"/>
      <c r="BW145" s="1708"/>
      <c r="BX145" s="1708"/>
      <c r="BY145" s="1708"/>
      <c r="BZ145" s="1708"/>
      <c r="CA145" s="1708"/>
      <c r="CB145" s="1708"/>
      <c r="CC145" s="1708"/>
      <c r="CD145" s="1708"/>
      <c r="CE145" s="1708"/>
      <c r="CF145" s="1708"/>
      <c r="CG145" s="1708"/>
      <c r="CH145" s="1708"/>
      <c r="CI145" s="1708"/>
      <c r="CJ145" s="1708"/>
      <c r="CK145" s="1708"/>
      <c r="CL145" s="1708"/>
      <c r="CM145" s="1708"/>
      <c r="CN145" s="1708"/>
      <c r="CO145" s="1708"/>
      <c r="CP145" s="1708"/>
      <c r="CQ145" s="1708"/>
      <c r="CR145" s="1708"/>
      <c r="CS145" s="1708"/>
      <c r="CT145" s="1708"/>
      <c r="CU145" s="1708"/>
      <c r="CV145" s="1708"/>
      <c r="CW145" s="1708"/>
      <c r="CX145" s="1708"/>
      <c r="CY145" s="1708"/>
      <c r="CZ145" s="1708"/>
      <c r="DA145" s="1708"/>
      <c r="DB145" s="1708"/>
      <c r="DC145" s="1708"/>
      <c r="DD145" s="1708"/>
      <c r="DE145" s="1708"/>
      <c r="DF145" s="1708"/>
      <c r="DG145" s="1708"/>
      <c r="DH145" s="1708"/>
      <c r="DI145" s="1708"/>
      <c r="DJ145" s="1708"/>
      <c r="DK145" s="1708"/>
      <c r="DL145" s="1708"/>
      <c r="DM145" s="1708"/>
      <c r="DN145" s="1708"/>
      <c r="DO145" s="1708"/>
      <c r="DP145" s="1708"/>
      <c r="DQ145" s="1708"/>
      <c r="DR145" s="1708"/>
      <c r="DS145" s="1708"/>
      <c r="DT145" s="1708"/>
      <c r="DU145" s="1708"/>
      <c r="DV145" s="1708"/>
      <c r="DW145" s="1708"/>
      <c r="DX145" s="1708"/>
      <c r="DY145" s="1708"/>
      <c r="DZ145" s="1708"/>
      <c r="EA145" s="1708"/>
      <c r="EB145" s="1708"/>
      <c r="EC145" s="1708"/>
      <c r="ED145" s="1708"/>
      <c r="EE145" s="1708"/>
      <c r="EF145" s="1708"/>
      <c r="EG145" s="1708"/>
      <c r="EH145" s="1708"/>
      <c r="EI145" s="1708"/>
      <c r="EJ145" s="1708"/>
      <c r="EK145" s="1708"/>
      <c r="EL145" s="1708"/>
      <c r="EM145" s="1708"/>
      <c r="EN145" s="1708"/>
      <c r="EO145" s="1708"/>
      <c r="EP145" s="1708"/>
      <c r="EQ145" s="1708"/>
      <c r="ER145" s="1708"/>
      <c r="ES145" s="1708"/>
      <c r="ET145" s="1708"/>
      <c r="EU145" s="1708"/>
      <c r="EV145" s="1708"/>
      <c r="EW145" s="1708"/>
      <c r="EX145" s="1708"/>
      <c r="EY145" s="1708"/>
      <c r="EZ145" s="1708"/>
      <c r="FA145" s="1708"/>
      <c r="FB145" s="1708"/>
      <c r="FC145" s="1708"/>
      <c r="FD145" s="1708"/>
      <c r="FE145" s="1708"/>
      <c r="FF145" s="1708"/>
      <c r="FG145" s="1708"/>
      <c r="FH145" s="1708"/>
      <c r="FI145" s="1708"/>
      <c r="FJ145" s="1708"/>
      <c r="FK145" s="1708"/>
      <c r="FL145" s="1708"/>
      <c r="FM145" s="1708"/>
      <c r="FN145" s="1708"/>
      <c r="FO145" s="1708"/>
      <c r="FP145" s="1708"/>
      <c r="FQ145" s="1708"/>
      <c r="FR145" s="1708"/>
      <c r="FS145" s="1708"/>
      <c r="FT145" s="1708"/>
      <c r="FU145" s="1708"/>
      <c r="FV145" s="1708"/>
      <c r="FW145" s="1708"/>
      <c r="FX145" s="1708"/>
      <c r="FY145" s="1708"/>
      <c r="FZ145" s="1708"/>
      <c r="GA145" s="1708"/>
      <c r="GB145" s="1708"/>
      <c r="GC145" s="1708"/>
      <c r="GD145" s="1708"/>
      <c r="GE145" s="1708"/>
      <c r="GF145" s="1708"/>
      <c r="GG145" s="1708"/>
      <c r="GH145" s="1708"/>
      <c r="GI145" s="1708"/>
      <c r="GJ145" s="1708"/>
      <c r="GK145" s="1708"/>
      <c r="GL145" s="1708"/>
      <c r="GM145" s="1708"/>
      <c r="GN145" s="1708"/>
      <c r="GO145" s="1708"/>
      <c r="GP145" s="1708"/>
      <c r="GQ145" s="1708"/>
      <c r="GR145" s="1708"/>
      <c r="GS145" s="1708"/>
      <c r="GT145" s="1708"/>
      <c r="GU145" s="1708"/>
      <c r="GV145" s="1708"/>
      <c r="GW145" s="1708"/>
      <c r="GX145" s="1708"/>
      <c r="GY145" s="1708"/>
      <c r="GZ145" s="1708"/>
      <c r="HA145" s="1708"/>
      <c r="HB145" s="1708"/>
      <c r="HC145" s="1708"/>
      <c r="HD145" s="1708"/>
      <c r="HE145" s="1708"/>
      <c r="HF145" s="1708"/>
      <c r="HG145" s="1708"/>
      <c r="HH145" s="1708"/>
      <c r="HI145" s="1708"/>
      <c r="HJ145" s="1708"/>
      <c r="HK145" s="1708"/>
      <c r="HL145" s="1708"/>
      <c r="HM145" s="1708"/>
      <c r="HN145" s="1708"/>
      <c r="HO145" s="1708"/>
      <c r="HP145" s="1708"/>
      <c r="HQ145" s="1708"/>
      <c r="HR145" s="1708"/>
      <c r="HS145" s="1708"/>
      <c r="HT145" s="1708"/>
      <c r="HU145" s="1708"/>
      <c r="HV145" s="1708"/>
      <c r="HW145" s="1708"/>
      <c r="HX145" s="1708"/>
      <c r="HY145" s="1708"/>
      <c r="HZ145" s="1708"/>
      <c r="IA145" s="1708"/>
      <c r="IB145" s="1708"/>
      <c r="IC145" s="1708"/>
      <c r="ID145" s="1708"/>
      <c r="IE145" s="1708"/>
      <c r="IF145" s="1708"/>
      <c r="IG145" s="1708"/>
      <c r="IH145" s="1708"/>
      <c r="II145" s="1708"/>
      <c r="IJ145" s="1708"/>
      <c r="IK145" s="1708"/>
      <c r="IL145" s="1708"/>
      <c r="IM145" s="1708"/>
      <c r="IN145" s="1708"/>
      <c r="IO145" s="1708"/>
      <c r="IP145" s="1708"/>
      <c r="IQ145" s="1708"/>
      <c r="IR145" s="1708"/>
      <c r="IS145" s="1708"/>
      <c r="IT145" s="1708"/>
      <c r="IU145" s="1708"/>
      <c r="IV145" s="1708"/>
    </row>
    <row r="146" spans="2:256" s="57" customFormat="1" x14ac:dyDescent="0.25">
      <c r="B146" s="1836"/>
      <c r="G146" s="1849"/>
      <c r="J146" s="1850"/>
      <c r="K146" s="1850"/>
      <c r="S146" s="1708"/>
      <c r="T146" s="1708"/>
      <c r="U146" s="1708"/>
      <c r="V146" s="1708"/>
      <c r="W146" s="1708"/>
      <c r="X146" s="1708"/>
      <c r="Y146" s="1708"/>
      <c r="Z146" s="1708"/>
      <c r="AA146" s="1708"/>
      <c r="AB146" s="1708"/>
      <c r="AC146" s="1708"/>
      <c r="AD146" s="1708"/>
      <c r="AE146" s="1708"/>
      <c r="AF146" s="1708"/>
      <c r="AG146" s="1708"/>
      <c r="AH146" s="1708"/>
      <c r="AI146" s="1708"/>
      <c r="AJ146" s="1708"/>
      <c r="AK146" s="1708"/>
      <c r="AL146" s="1708"/>
      <c r="AM146" s="1708"/>
      <c r="AN146" s="1708"/>
      <c r="AO146" s="1708"/>
      <c r="AP146" s="1708"/>
      <c r="AQ146" s="1708"/>
      <c r="AR146" s="1708"/>
      <c r="AS146" s="1708"/>
      <c r="AT146" s="1708"/>
      <c r="AU146" s="1708"/>
      <c r="AV146" s="1708"/>
      <c r="AW146" s="1708"/>
      <c r="AX146" s="1708"/>
      <c r="AY146" s="1708"/>
      <c r="AZ146" s="1708"/>
      <c r="BA146" s="1708"/>
      <c r="BB146" s="1708"/>
      <c r="BC146" s="1708"/>
      <c r="BD146" s="1708"/>
      <c r="BE146" s="1708"/>
      <c r="BF146" s="1708"/>
      <c r="BG146" s="1708"/>
      <c r="BH146" s="1708"/>
      <c r="BI146" s="1708"/>
      <c r="BJ146" s="1708"/>
      <c r="BK146" s="1708"/>
      <c r="BL146" s="1708"/>
      <c r="BM146" s="1708"/>
      <c r="BN146" s="1708"/>
      <c r="BO146" s="1708"/>
      <c r="BP146" s="1708"/>
      <c r="BQ146" s="1708"/>
      <c r="BR146" s="1708"/>
      <c r="BS146" s="1708"/>
      <c r="BT146" s="1708"/>
      <c r="BU146" s="1708"/>
      <c r="BV146" s="1708"/>
      <c r="BW146" s="1708"/>
      <c r="BX146" s="1708"/>
      <c r="BY146" s="1708"/>
      <c r="BZ146" s="1708"/>
      <c r="CA146" s="1708"/>
      <c r="CB146" s="1708"/>
      <c r="CC146" s="1708"/>
      <c r="CD146" s="1708"/>
      <c r="CE146" s="1708"/>
      <c r="CF146" s="1708"/>
      <c r="CG146" s="1708"/>
      <c r="CH146" s="1708"/>
      <c r="CI146" s="1708"/>
      <c r="CJ146" s="1708"/>
      <c r="CK146" s="1708"/>
      <c r="CL146" s="1708"/>
      <c r="CM146" s="1708"/>
      <c r="CN146" s="1708"/>
      <c r="CO146" s="1708"/>
      <c r="CP146" s="1708"/>
      <c r="CQ146" s="1708"/>
      <c r="CR146" s="1708"/>
      <c r="CS146" s="1708"/>
      <c r="CT146" s="1708"/>
      <c r="CU146" s="1708"/>
      <c r="CV146" s="1708"/>
      <c r="CW146" s="1708"/>
      <c r="CX146" s="1708"/>
      <c r="CY146" s="1708"/>
      <c r="CZ146" s="1708"/>
      <c r="DA146" s="1708"/>
      <c r="DB146" s="1708"/>
      <c r="DC146" s="1708"/>
      <c r="DD146" s="1708"/>
      <c r="DE146" s="1708"/>
      <c r="DF146" s="1708"/>
      <c r="DG146" s="1708"/>
      <c r="DH146" s="1708"/>
      <c r="DI146" s="1708"/>
      <c r="DJ146" s="1708"/>
      <c r="DK146" s="1708"/>
      <c r="DL146" s="1708"/>
      <c r="DM146" s="1708"/>
      <c r="DN146" s="1708"/>
      <c r="DO146" s="1708"/>
      <c r="DP146" s="1708"/>
      <c r="DQ146" s="1708"/>
      <c r="DR146" s="1708"/>
      <c r="DS146" s="1708"/>
      <c r="DT146" s="1708"/>
      <c r="DU146" s="1708"/>
      <c r="DV146" s="1708"/>
      <c r="DW146" s="1708"/>
      <c r="DX146" s="1708"/>
      <c r="DY146" s="1708"/>
      <c r="DZ146" s="1708"/>
      <c r="EA146" s="1708"/>
      <c r="EB146" s="1708"/>
      <c r="EC146" s="1708"/>
      <c r="ED146" s="1708"/>
      <c r="EE146" s="1708"/>
      <c r="EF146" s="1708"/>
      <c r="EG146" s="1708"/>
      <c r="EH146" s="1708"/>
      <c r="EI146" s="1708"/>
      <c r="EJ146" s="1708"/>
      <c r="EK146" s="1708"/>
      <c r="EL146" s="1708"/>
      <c r="EM146" s="1708"/>
      <c r="EN146" s="1708"/>
      <c r="EO146" s="1708"/>
      <c r="EP146" s="1708"/>
      <c r="EQ146" s="1708"/>
      <c r="ER146" s="1708"/>
      <c r="ES146" s="1708"/>
      <c r="ET146" s="1708"/>
      <c r="EU146" s="1708"/>
      <c r="EV146" s="1708"/>
      <c r="EW146" s="1708"/>
      <c r="EX146" s="1708"/>
      <c r="EY146" s="1708"/>
      <c r="EZ146" s="1708"/>
      <c r="FA146" s="1708"/>
      <c r="FB146" s="1708"/>
      <c r="FC146" s="1708"/>
      <c r="FD146" s="1708"/>
      <c r="FE146" s="1708"/>
      <c r="FF146" s="1708"/>
      <c r="FG146" s="1708"/>
      <c r="FH146" s="1708"/>
      <c r="FI146" s="1708"/>
      <c r="FJ146" s="1708"/>
      <c r="FK146" s="1708"/>
      <c r="FL146" s="1708"/>
      <c r="FM146" s="1708"/>
      <c r="FN146" s="1708"/>
      <c r="FO146" s="1708"/>
      <c r="FP146" s="1708"/>
      <c r="FQ146" s="1708"/>
      <c r="FR146" s="1708"/>
      <c r="FS146" s="1708"/>
      <c r="FT146" s="1708"/>
      <c r="FU146" s="1708"/>
      <c r="FV146" s="1708"/>
      <c r="FW146" s="1708"/>
      <c r="FX146" s="1708"/>
      <c r="FY146" s="1708"/>
      <c r="FZ146" s="1708"/>
      <c r="GA146" s="1708"/>
      <c r="GB146" s="1708"/>
      <c r="GC146" s="1708"/>
      <c r="GD146" s="1708"/>
      <c r="GE146" s="1708"/>
      <c r="GF146" s="1708"/>
      <c r="GG146" s="1708"/>
      <c r="GH146" s="1708"/>
      <c r="GI146" s="1708"/>
      <c r="GJ146" s="1708"/>
      <c r="GK146" s="1708"/>
      <c r="GL146" s="1708"/>
      <c r="GM146" s="1708"/>
      <c r="GN146" s="1708"/>
      <c r="GO146" s="1708"/>
      <c r="GP146" s="1708"/>
      <c r="GQ146" s="1708"/>
      <c r="GR146" s="1708"/>
      <c r="GS146" s="1708"/>
      <c r="GT146" s="1708"/>
      <c r="GU146" s="1708"/>
      <c r="GV146" s="1708"/>
      <c r="GW146" s="1708"/>
      <c r="GX146" s="1708"/>
      <c r="GY146" s="1708"/>
      <c r="GZ146" s="1708"/>
      <c r="HA146" s="1708"/>
      <c r="HB146" s="1708"/>
      <c r="HC146" s="1708"/>
      <c r="HD146" s="1708"/>
      <c r="HE146" s="1708"/>
      <c r="HF146" s="1708"/>
      <c r="HG146" s="1708"/>
      <c r="HH146" s="1708"/>
      <c r="HI146" s="1708"/>
      <c r="HJ146" s="1708"/>
      <c r="HK146" s="1708"/>
      <c r="HL146" s="1708"/>
      <c r="HM146" s="1708"/>
      <c r="HN146" s="1708"/>
      <c r="HO146" s="1708"/>
      <c r="HP146" s="1708"/>
      <c r="HQ146" s="1708"/>
      <c r="HR146" s="1708"/>
      <c r="HS146" s="1708"/>
      <c r="HT146" s="1708"/>
      <c r="HU146" s="1708"/>
      <c r="HV146" s="1708"/>
      <c r="HW146" s="1708"/>
      <c r="HX146" s="1708"/>
      <c r="HY146" s="1708"/>
      <c r="HZ146" s="1708"/>
      <c r="IA146" s="1708"/>
      <c r="IB146" s="1708"/>
      <c r="IC146" s="1708"/>
      <c r="ID146" s="1708"/>
      <c r="IE146" s="1708"/>
      <c r="IF146" s="1708"/>
      <c r="IG146" s="1708"/>
      <c r="IH146" s="1708"/>
      <c r="II146" s="1708"/>
      <c r="IJ146" s="1708"/>
      <c r="IK146" s="1708"/>
      <c r="IL146" s="1708"/>
      <c r="IM146" s="1708"/>
      <c r="IN146" s="1708"/>
      <c r="IO146" s="1708"/>
      <c r="IP146" s="1708"/>
      <c r="IQ146" s="1708"/>
      <c r="IR146" s="1708"/>
      <c r="IS146" s="1708"/>
      <c r="IT146" s="1708"/>
      <c r="IU146" s="1708"/>
      <c r="IV146" s="1708"/>
    </row>
    <row r="147" spans="2:256" s="57" customFormat="1" x14ac:dyDescent="0.25">
      <c r="B147" s="1836"/>
      <c r="G147" s="1849"/>
      <c r="J147" s="1850"/>
      <c r="K147" s="1850"/>
      <c r="S147" s="1708"/>
      <c r="T147" s="1708"/>
      <c r="U147" s="1708"/>
      <c r="V147" s="1708"/>
      <c r="W147" s="1708"/>
      <c r="X147" s="1708"/>
      <c r="Y147" s="1708"/>
      <c r="Z147" s="1708"/>
      <c r="AA147" s="1708"/>
      <c r="AB147" s="1708"/>
      <c r="AC147" s="1708"/>
      <c r="AD147" s="1708"/>
      <c r="AE147" s="1708"/>
      <c r="AF147" s="1708"/>
      <c r="AG147" s="1708"/>
      <c r="AH147" s="1708"/>
      <c r="AI147" s="1708"/>
      <c r="AJ147" s="1708"/>
      <c r="AK147" s="1708"/>
      <c r="AL147" s="1708"/>
      <c r="AM147" s="1708"/>
      <c r="AN147" s="1708"/>
      <c r="AO147" s="1708"/>
      <c r="AP147" s="1708"/>
      <c r="AQ147" s="1708"/>
      <c r="AR147" s="1708"/>
      <c r="AS147" s="1708"/>
      <c r="AT147" s="1708"/>
      <c r="AU147" s="1708"/>
      <c r="AV147" s="1708"/>
      <c r="AW147" s="1708"/>
      <c r="AX147" s="1708"/>
      <c r="AY147" s="1708"/>
      <c r="AZ147" s="1708"/>
      <c r="BA147" s="1708"/>
      <c r="BB147" s="1708"/>
      <c r="BC147" s="1708"/>
      <c r="BD147" s="1708"/>
      <c r="BE147" s="1708"/>
      <c r="BF147" s="1708"/>
      <c r="BG147" s="1708"/>
      <c r="BH147" s="1708"/>
      <c r="BI147" s="1708"/>
      <c r="BJ147" s="1708"/>
      <c r="BK147" s="1708"/>
      <c r="BL147" s="1708"/>
      <c r="BM147" s="1708"/>
      <c r="BN147" s="1708"/>
      <c r="BO147" s="1708"/>
      <c r="BP147" s="1708"/>
      <c r="BQ147" s="1708"/>
      <c r="BR147" s="1708"/>
      <c r="BS147" s="1708"/>
      <c r="BT147" s="1708"/>
      <c r="BU147" s="1708"/>
      <c r="BV147" s="1708"/>
      <c r="BW147" s="1708"/>
      <c r="BX147" s="1708"/>
      <c r="BY147" s="1708"/>
      <c r="BZ147" s="1708"/>
      <c r="CA147" s="1708"/>
      <c r="CB147" s="1708"/>
      <c r="CC147" s="1708"/>
      <c r="CD147" s="1708"/>
      <c r="CE147" s="1708"/>
      <c r="CF147" s="1708"/>
      <c r="CG147" s="1708"/>
      <c r="CH147" s="1708"/>
      <c r="CI147" s="1708"/>
      <c r="CJ147" s="1708"/>
      <c r="CK147" s="1708"/>
      <c r="CL147" s="1708"/>
      <c r="CM147" s="1708"/>
      <c r="CN147" s="1708"/>
      <c r="CO147" s="1708"/>
      <c r="CP147" s="1708"/>
      <c r="CQ147" s="1708"/>
      <c r="CR147" s="1708"/>
      <c r="CS147" s="1708"/>
      <c r="CT147" s="1708"/>
      <c r="CU147" s="1708"/>
      <c r="CV147" s="1708"/>
      <c r="CW147" s="1708"/>
      <c r="CX147" s="1708"/>
      <c r="CY147" s="1708"/>
      <c r="CZ147" s="1708"/>
      <c r="DA147" s="1708"/>
      <c r="DB147" s="1708"/>
      <c r="DC147" s="1708"/>
      <c r="DD147" s="1708"/>
      <c r="DE147" s="1708"/>
      <c r="DF147" s="1708"/>
      <c r="DG147" s="1708"/>
      <c r="DH147" s="1708"/>
      <c r="DI147" s="1708"/>
      <c r="DJ147" s="1708"/>
      <c r="DK147" s="1708"/>
      <c r="DL147" s="1708"/>
      <c r="DM147" s="1708"/>
      <c r="DN147" s="1708"/>
      <c r="DO147" s="1708"/>
      <c r="DP147" s="1708"/>
      <c r="DQ147" s="1708"/>
      <c r="DR147" s="1708"/>
      <c r="DS147" s="1708"/>
      <c r="DT147" s="1708"/>
      <c r="DU147" s="1708"/>
      <c r="DV147" s="1708"/>
      <c r="DW147" s="1708"/>
      <c r="DX147" s="1708"/>
      <c r="DY147" s="1708"/>
      <c r="DZ147" s="1708"/>
      <c r="EA147" s="1708"/>
      <c r="EB147" s="1708"/>
      <c r="EC147" s="1708"/>
      <c r="ED147" s="1708"/>
      <c r="EE147" s="1708"/>
      <c r="EF147" s="1708"/>
      <c r="EG147" s="1708"/>
      <c r="EH147" s="1708"/>
      <c r="EI147" s="1708"/>
      <c r="EJ147" s="1708"/>
      <c r="EK147" s="1708"/>
      <c r="EL147" s="1708"/>
      <c r="EM147" s="1708"/>
      <c r="EN147" s="1708"/>
      <c r="EO147" s="1708"/>
      <c r="EP147" s="1708"/>
      <c r="EQ147" s="1708"/>
      <c r="ER147" s="1708"/>
      <c r="ES147" s="1708"/>
      <c r="ET147" s="1708"/>
      <c r="EU147" s="1708"/>
      <c r="EV147" s="1708"/>
      <c r="EW147" s="1708"/>
      <c r="EX147" s="1708"/>
      <c r="EY147" s="1708"/>
      <c r="EZ147" s="1708"/>
      <c r="FA147" s="1708"/>
      <c r="FB147" s="1708"/>
      <c r="FC147" s="1708"/>
      <c r="FD147" s="1708"/>
      <c r="FE147" s="1708"/>
      <c r="FF147" s="1708"/>
      <c r="FG147" s="1708"/>
      <c r="FH147" s="1708"/>
      <c r="FI147" s="1708"/>
      <c r="FJ147" s="1708"/>
      <c r="FK147" s="1708"/>
      <c r="FL147" s="1708"/>
      <c r="FM147" s="1708"/>
      <c r="FN147" s="1708"/>
      <c r="FO147" s="1708"/>
      <c r="FP147" s="1708"/>
      <c r="FQ147" s="1708"/>
      <c r="FR147" s="1708"/>
      <c r="FS147" s="1708"/>
      <c r="FT147" s="1708"/>
      <c r="FU147" s="1708"/>
      <c r="FV147" s="1708"/>
      <c r="FW147" s="1708"/>
      <c r="FX147" s="1708"/>
      <c r="FY147" s="1708"/>
      <c r="FZ147" s="1708"/>
      <c r="GA147" s="1708"/>
      <c r="GB147" s="1708"/>
      <c r="GC147" s="1708"/>
      <c r="GD147" s="1708"/>
      <c r="GE147" s="1708"/>
      <c r="GF147" s="1708"/>
      <c r="GG147" s="1708"/>
      <c r="GH147" s="1708"/>
      <c r="GI147" s="1708"/>
      <c r="GJ147" s="1708"/>
      <c r="GK147" s="1708"/>
      <c r="GL147" s="1708"/>
      <c r="GM147" s="1708"/>
      <c r="GN147" s="1708"/>
      <c r="GO147" s="1708"/>
      <c r="GP147" s="1708"/>
      <c r="GQ147" s="1708"/>
      <c r="GR147" s="1708"/>
      <c r="GS147" s="1708"/>
      <c r="GT147" s="1708"/>
      <c r="GU147" s="1708"/>
      <c r="GV147" s="1708"/>
      <c r="GW147" s="1708"/>
      <c r="GX147" s="1708"/>
      <c r="GY147" s="1708"/>
      <c r="GZ147" s="1708"/>
      <c r="HA147" s="1708"/>
      <c r="HB147" s="1708"/>
      <c r="HC147" s="1708"/>
      <c r="HD147" s="1708"/>
      <c r="HE147" s="1708"/>
      <c r="HF147" s="1708"/>
      <c r="HG147" s="1708"/>
      <c r="HH147" s="1708"/>
      <c r="HI147" s="1708"/>
      <c r="HJ147" s="1708"/>
      <c r="HK147" s="1708"/>
      <c r="HL147" s="1708"/>
      <c r="HM147" s="1708"/>
      <c r="HN147" s="1708"/>
      <c r="HO147" s="1708"/>
      <c r="HP147" s="1708"/>
      <c r="HQ147" s="1708"/>
      <c r="HR147" s="1708"/>
      <c r="HS147" s="1708"/>
      <c r="HT147" s="1708"/>
      <c r="HU147" s="1708"/>
      <c r="HV147" s="1708"/>
      <c r="HW147" s="1708"/>
      <c r="HX147" s="1708"/>
      <c r="HY147" s="1708"/>
      <c r="HZ147" s="1708"/>
      <c r="IA147" s="1708"/>
      <c r="IB147" s="1708"/>
      <c r="IC147" s="1708"/>
      <c r="ID147" s="1708"/>
      <c r="IE147" s="1708"/>
      <c r="IF147" s="1708"/>
      <c r="IG147" s="1708"/>
      <c r="IH147" s="1708"/>
      <c r="II147" s="1708"/>
      <c r="IJ147" s="1708"/>
      <c r="IK147" s="1708"/>
      <c r="IL147" s="1708"/>
      <c r="IM147" s="1708"/>
      <c r="IN147" s="1708"/>
      <c r="IO147" s="1708"/>
      <c r="IP147" s="1708"/>
      <c r="IQ147" s="1708"/>
      <c r="IR147" s="1708"/>
      <c r="IS147" s="1708"/>
      <c r="IT147" s="1708"/>
      <c r="IU147" s="1708"/>
      <c r="IV147" s="1708"/>
    </row>
    <row r="148" spans="2:256" s="57" customFormat="1" x14ac:dyDescent="0.25">
      <c r="B148" s="1836"/>
      <c r="G148" s="1849"/>
      <c r="J148" s="1850"/>
      <c r="K148" s="1850"/>
      <c r="S148" s="1708"/>
      <c r="T148" s="1708"/>
      <c r="U148" s="1708"/>
      <c r="V148" s="1708"/>
      <c r="W148" s="1708"/>
      <c r="X148" s="1708"/>
      <c r="Y148" s="1708"/>
      <c r="Z148" s="1708"/>
      <c r="AA148" s="1708"/>
      <c r="AB148" s="1708"/>
      <c r="AC148" s="1708"/>
      <c r="AD148" s="1708"/>
      <c r="AE148" s="1708"/>
      <c r="AF148" s="1708"/>
      <c r="AG148" s="1708"/>
      <c r="AH148" s="1708"/>
      <c r="AI148" s="1708"/>
      <c r="AJ148" s="1708"/>
      <c r="AK148" s="1708"/>
      <c r="AL148" s="1708"/>
      <c r="AM148" s="1708"/>
      <c r="AN148" s="1708"/>
      <c r="AO148" s="1708"/>
      <c r="AP148" s="1708"/>
      <c r="AQ148" s="1708"/>
      <c r="AR148" s="1708"/>
      <c r="AS148" s="1708"/>
      <c r="AT148" s="1708"/>
      <c r="AU148" s="1708"/>
      <c r="AV148" s="1708"/>
      <c r="AW148" s="1708"/>
      <c r="AX148" s="1708"/>
      <c r="AY148" s="1708"/>
      <c r="AZ148" s="1708"/>
      <c r="BA148" s="1708"/>
      <c r="BB148" s="1708"/>
      <c r="BC148" s="1708"/>
      <c r="BD148" s="1708"/>
      <c r="BE148" s="1708"/>
      <c r="BF148" s="1708"/>
      <c r="BG148" s="1708"/>
      <c r="BH148" s="1708"/>
      <c r="BI148" s="1708"/>
      <c r="BJ148" s="1708"/>
      <c r="BK148" s="1708"/>
      <c r="BL148" s="1708"/>
      <c r="BM148" s="1708"/>
      <c r="BN148" s="1708"/>
      <c r="BO148" s="1708"/>
      <c r="BP148" s="1708"/>
      <c r="BQ148" s="1708"/>
      <c r="BR148" s="1708"/>
      <c r="BS148" s="1708"/>
      <c r="BT148" s="1708"/>
      <c r="BU148" s="1708"/>
      <c r="BV148" s="1708"/>
      <c r="BW148" s="1708"/>
      <c r="BX148" s="1708"/>
      <c r="BY148" s="1708"/>
      <c r="BZ148" s="1708"/>
      <c r="CA148" s="1708"/>
      <c r="CB148" s="1708"/>
      <c r="CC148" s="1708"/>
      <c r="CD148" s="1708"/>
      <c r="CE148" s="1708"/>
      <c r="CF148" s="1708"/>
      <c r="CG148" s="1708"/>
      <c r="CH148" s="1708"/>
      <c r="CI148" s="1708"/>
      <c r="CJ148" s="1708"/>
      <c r="CK148" s="1708"/>
      <c r="CL148" s="1708"/>
      <c r="CM148" s="1708"/>
      <c r="CN148" s="1708"/>
      <c r="CO148" s="1708"/>
      <c r="CP148" s="1708"/>
      <c r="CQ148" s="1708"/>
      <c r="CR148" s="1708"/>
      <c r="CS148" s="1708"/>
      <c r="CT148" s="1708"/>
      <c r="CU148" s="1708"/>
      <c r="CV148" s="1708"/>
      <c r="CW148" s="1708"/>
      <c r="CX148" s="1708"/>
      <c r="CY148" s="1708"/>
      <c r="CZ148" s="1708"/>
      <c r="DA148" s="1708"/>
      <c r="DB148" s="1708"/>
      <c r="DC148" s="1708"/>
      <c r="DD148" s="1708"/>
      <c r="DE148" s="1708"/>
      <c r="DF148" s="1708"/>
      <c r="DG148" s="1708"/>
      <c r="DH148" s="1708"/>
      <c r="DI148" s="1708"/>
      <c r="DJ148" s="1708"/>
      <c r="DK148" s="1708"/>
      <c r="DL148" s="1708"/>
      <c r="DM148" s="1708"/>
      <c r="DN148" s="1708"/>
      <c r="DO148" s="1708"/>
      <c r="DP148" s="1708"/>
      <c r="DQ148" s="1708"/>
      <c r="DR148" s="1708"/>
      <c r="DS148" s="1708"/>
      <c r="DT148" s="1708"/>
      <c r="DU148" s="1708"/>
      <c r="DV148" s="1708"/>
      <c r="DW148" s="1708"/>
      <c r="DX148" s="1708"/>
      <c r="DY148" s="1708"/>
      <c r="DZ148" s="1708"/>
      <c r="EA148" s="1708"/>
      <c r="EB148" s="1708"/>
      <c r="EC148" s="1708"/>
      <c r="ED148" s="1708"/>
      <c r="EE148" s="1708"/>
      <c r="EF148" s="1708"/>
      <c r="EG148" s="1708"/>
      <c r="EH148" s="1708"/>
      <c r="EI148" s="1708"/>
      <c r="EJ148" s="1708"/>
      <c r="EK148" s="1708"/>
      <c r="EL148" s="1708"/>
      <c r="EM148" s="1708"/>
      <c r="EN148" s="1708"/>
      <c r="EO148" s="1708"/>
      <c r="EP148" s="1708"/>
      <c r="EQ148" s="1708"/>
      <c r="ER148" s="1708"/>
      <c r="ES148" s="1708"/>
      <c r="ET148" s="1708"/>
      <c r="EU148" s="1708"/>
      <c r="EV148" s="1708"/>
      <c r="EW148" s="1708"/>
      <c r="EX148" s="1708"/>
      <c r="EY148" s="1708"/>
      <c r="EZ148" s="1708"/>
      <c r="FA148" s="1708"/>
      <c r="FB148" s="1708"/>
      <c r="FC148" s="1708"/>
      <c r="FD148" s="1708"/>
      <c r="FE148" s="1708"/>
      <c r="FF148" s="1708"/>
      <c r="FG148" s="1708"/>
      <c r="FH148" s="1708"/>
      <c r="FI148" s="1708"/>
      <c r="FJ148" s="1708"/>
      <c r="FK148" s="1708"/>
      <c r="FL148" s="1708"/>
      <c r="FM148" s="1708"/>
      <c r="FN148" s="1708"/>
      <c r="FO148" s="1708"/>
      <c r="FP148" s="1708"/>
      <c r="FQ148" s="1708"/>
      <c r="FR148" s="1708"/>
      <c r="FS148" s="1708"/>
      <c r="FT148" s="1708"/>
      <c r="FU148" s="1708"/>
      <c r="FV148" s="1708"/>
      <c r="FW148" s="1708"/>
      <c r="FX148" s="1708"/>
      <c r="FY148" s="1708"/>
      <c r="FZ148" s="1708"/>
      <c r="GA148" s="1708"/>
      <c r="GB148" s="1708"/>
      <c r="GC148" s="1708"/>
      <c r="GD148" s="1708"/>
      <c r="GE148" s="1708"/>
      <c r="GF148" s="1708"/>
      <c r="GG148" s="1708"/>
      <c r="GH148" s="1708"/>
      <c r="GI148" s="1708"/>
      <c r="GJ148" s="1708"/>
      <c r="GK148" s="1708"/>
      <c r="GL148" s="1708"/>
      <c r="GM148" s="1708"/>
      <c r="GN148" s="1708"/>
      <c r="GO148" s="1708"/>
      <c r="GP148" s="1708"/>
      <c r="GQ148" s="1708"/>
      <c r="GR148" s="1708"/>
      <c r="GS148" s="1708"/>
      <c r="GT148" s="1708"/>
      <c r="GU148" s="1708"/>
      <c r="GV148" s="1708"/>
      <c r="GW148" s="1708"/>
      <c r="GX148" s="1708"/>
      <c r="GY148" s="1708"/>
      <c r="GZ148" s="1708"/>
      <c r="HA148" s="1708"/>
      <c r="HB148" s="1708"/>
      <c r="HC148" s="1708"/>
      <c r="HD148" s="1708"/>
      <c r="HE148" s="1708"/>
      <c r="HF148" s="1708"/>
      <c r="HG148" s="1708"/>
      <c r="HH148" s="1708"/>
      <c r="HI148" s="1708"/>
      <c r="HJ148" s="1708"/>
      <c r="HK148" s="1708"/>
      <c r="HL148" s="1708"/>
      <c r="HM148" s="1708"/>
      <c r="HN148" s="1708"/>
      <c r="HO148" s="1708"/>
      <c r="HP148" s="1708"/>
      <c r="HQ148" s="1708"/>
      <c r="HR148" s="1708"/>
      <c r="HS148" s="1708"/>
      <c r="HT148" s="1708"/>
      <c r="HU148" s="1708"/>
      <c r="HV148" s="1708"/>
      <c r="HW148" s="1708"/>
      <c r="HX148" s="1708"/>
      <c r="HY148" s="1708"/>
      <c r="HZ148" s="1708"/>
      <c r="IA148" s="1708"/>
      <c r="IB148" s="1708"/>
      <c r="IC148" s="1708"/>
      <c r="ID148" s="1708"/>
      <c r="IE148" s="1708"/>
      <c r="IF148" s="1708"/>
      <c r="IG148" s="1708"/>
      <c r="IH148" s="1708"/>
      <c r="II148" s="1708"/>
      <c r="IJ148" s="1708"/>
      <c r="IK148" s="1708"/>
      <c r="IL148" s="1708"/>
      <c r="IM148" s="1708"/>
      <c r="IN148" s="1708"/>
      <c r="IO148" s="1708"/>
      <c r="IP148" s="1708"/>
      <c r="IQ148" s="1708"/>
      <c r="IR148" s="1708"/>
      <c r="IS148" s="1708"/>
      <c r="IT148" s="1708"/>
      <c r="IU148" s="1708"/>
      <c r="IV148" s="1708"/>
    </row>
    <row r="149" spans="2:256" s="57" customFormat="1" x14ac:dyDescent="0.25">
      <c r="B149" s="1836"/>
      <c r="G149" s="1849"/>
      <c r="J149" s="1850"/>
      <c r="K149" s="1850"/>
      <c r="S149" s="1708"/>
      <c r="T149" s="1708"/>
      <c r="U149" s="1708"/>
      <c r="V149" s="1708"/>
      <c r="W149" s="1708"/>
      <c r="X149" s="1708"/>
      <c r="Y149" s="1708"/>
      <c r="Z149" s="1708"/>
      <c r="AA149" s="1708"/>
      <c r="AB149" s="1708"/>
      <c r="AC149" s="1708"/>
      <c r="AD149" s="1708"/>
      <c r="AE149" s="1708"/>
      <c r="AF149" s="1708"/>
      <c r="AG149" s="1708"/>
      <c r="AH149" s="1708"/>
      <c r="AI149" s="1708"/>
      <c r="AJ149" s="1708"/>
      <c r="AK149" s="1708"/>
      <c r="AL149" s="1708"/>
      <c r="AM149" s="1708"/>
      <c r="AN149" s="1708"/>
      <c r="AO149" s="1708"/>
      <c r="AP149" s="1708"/>
      <c r="AQ149" s="1708"/>
      <c r="AR149" s="1708"/>
      <c r="AS149" s="1708"/>
      <c r="AT149" s="1708"/>
      <c r="AU149" s="1708"/>
      <c r="AV149" s="1708"/>
      <c r="AW149" s="1708"/>
      <c r="AX149" s="1708"/>
      <c r="AY149" s="1708"/>
      <c r="AZ149" s="1708"/>
      <c r="BA149" s="1708"/>
      <c r="BB149" s="1708"/>
      <c r="BC149" s="1708"/>
      <c r="BD149" s="1708"/>
      <c r="BE149" s="1708"/>
      <c r="BF149" s="1708"/>
      <c r="BG149" s="1708"/>
      <c r="BH149" s="1708"/>
      <c r="BI149" s="1708"/>
      <c r="BJ149" s="1708"/>
      <c r="BK149" s="1708"/>
      <c r="BL149" s="1708"/>
      <c r="BM149" s="1708"/>
      <c r="BN149" s="1708"/>
      <c r="BO149" s="1708"/>
      <c r="BP149" s="1708"/>
      <c r="BQ149" s="1708"/>
      <c r="BR149" s="1708"/>
      <c r="BS149" s="1708"/>
      <c r="BT149" s="1708"/>
      <c r="BU149" s="1708"/>
      <c r="BV149" s="1708"/>
      <c r="BW149" s="1708"/>
      <c r="BX149" s="1708"/>
      <c r="BY149" s="1708"/>
      <c r="BZ149" s="1708"/>
      <c r="CA149" s="1708"/>
      <c r="CB149" s="1708"/>
      <c r="CC149" s="1708"/>
      <c r="CD149" s="1708"/>
      <c r="CE149" s="1708"/>
      <c r="CF149" s="1708"/>
      <c r="CG149" s="1708"/>
      <c r="CH149" s="1708"/>
      <c r="CI149" s="1708"/>
      <c r="CJ149" s="1708"/>
      <c r="CK149" s="1708"/>
      <c r="CL149" s="1708"/>
      <c r="CM149" s="1708"/>
      <c r="CN149" s="1708"/>
      <c r="CO149" s="1708"/>
      <c r="CP149" s="1708"/>
      <c r="CQ149" s="1708"/>
      <c r="CR149" s="1708"/>
      <c r="CS149" s="1708"/>
      <c r="CT149" s="1708"/>
      <c r="CU149" s="1708"/>
      <c r="CV149" s="1708"/>
      <c r="CW149" s="1708"/>
      <c r="CX149" s="1708"/>
      <c r="CY149" s="1708"/>
      <c r="CZ149" s="1708"/>
      <c r="DA149" s="1708"/>
      <c r="DB149" s="1708"/>
      <c r="DC149" s="1708"/>
      <c r="DD149" s="1708"/>
      <c r="DE149" s="1708"/>
      <c r="DF149" s="1708"/>
      <c r="DG149" s="1708"/>
      <c r="DH149" s="1708"/>
      <c r="DI149" s="1708"/>
      <c r="DJ149" s="1708"/>
      <c r="DK149" s="1708"/>
      <c r="DL149" s="1708"/>
      <c r="DM149" s="1708"/>
      <c r="DN149" s="1708"/>
      <c r="DO149" s="1708"/>
      <c r="DP149" s="1708"/>
      <c r="DQ149" s="1708"/>
      <c r="DR149" s="1708"/>
      <c r="DS149" s="1708"/>
      <c r="DT149" s="1708"/>
      <c r="DU149" s="1708"/>
      <c r="DV149" s="1708"/>
      <c r="DW149" s="1708"/>
      <c r="DX149" s="1708"/>
      <c r="DY149" s="1708"/>
      <c r="DZ149" s="1708"/>
      <c r="EA149" s="1708"/>
      <c r="EB149" s="1708"/>
      <c r="EC149" s="1708"/>
      <c r="ED149" s="1708"/>
      <c r="EE149" s="1708"/>
      <c r="EF149" s="1708"/>
      <c r="EG149" s="1708"/>
      <c r="EH149" s="1708"/>
      <c r="EI149" s="1708"/>
      <c r="EJ149" s="1708"/>
      <c r="EK149" s="1708"/>
      <c r="EL149" s="1708"/>
      <c r="EM149" s="1708"/>
      <c r="EN149" s="1708"/>
      <c r="EO149" s="1708"/>
      <c r="EP149" s="1708"/>
      <c r="EQ149" s="1708"/>
      <c r="ER149" s="1708"/>
      <c r="ES149" s="1708"/>
      <c r="ET149" s="1708"/>
      <c r="EU149" s="1708"/>
      <c r="EV149" s="1708"/>
      <c r="EW149" s="1708"/>
      <c r="EX149" s="1708"/>
      <c r="EY149" s="1708"/>
      <c r="EZ149" s="1708"/>
      <c r="FA149" s="1708"/>
      <c r="FB149" s="1708"/>
      <c r="FC149" s="1708"/>
      <c r="FD149" s="1708"/>
      <c r="FE149" s="1708"/>
      <c r="FF149" s="1708"/>
      <c r="FG149" s="1708"/>
      <c r="FH149" s="1708"/>
      <c r="FI149" s="1708"/>
      <c r="FJ149" s="1708"/>
      <c r="FK149" s="1708"/>
      <c r="FL149" s="1708"/>
      <c r="FM149" s="1708"/>
      <c r="FN149" s="1708"/>
      <c r="FO149" s="1708"/>
      <c r="FP149" s="1708"/>
      <c r="FQ149" s="1708"/>
      <c r="FR149" s="1708"/>
      <c r="FS149" s="1708"/>
      <c r="FT149" s="1708"/>
      <c r="FU149" s="1708"/>
      <c r="FV149" s="1708"/>
      <c r="FW149" s="1708"/>
      <c r="FX149" s="1708"/>
      <c r="FY149" s="1708"/>
      <c r="FZ149" s="1708"/>
      <c r="GA149" s="1708"/>
      <c r="GB149" s="1708"/>
      <c r="GC149" s="1708"/>
      <c r="GD149" s="1708"/>
      <c r="GE149" s="1708"/>
      <c r="GF149" s="1708"/>
      <c r="GG149" s="1708"/>
      <c r="GH149" s="1708"/>
      <c r="GI149" s="1708"/>
      <c r="GJ149" s="1708"/>
      <c r="GK149" s="1708"/>
      <c r="GL149" s="1708"/>
      <c r="GM149" s="1708"/>
      <c r="GN149" s="1708"/>
      <c r="GO149" s="1708"/>
      <c r="GP149" s="1708"/>
      <c r="GQ149" s="1708"/>
      <c r="GR149" s="1708"/>
      <c r="GS149" s="1708"/>
      <c r="GT149" s="1708"/>
      <c r="GU149" s="1708"/>
      <c r="GV149" s="1708"/>
      <c r="GW149" s="1708"/>
      <c r="GX149" s="1708"/>
      <c r="GY149" s="1708"/>
      <c r="GZ149" s="1708"/>
      <c r="HA149" s="1708"/>
      <c r="HB149" s="1708"/>
      <c r="HC149" s="1708"/>
      <c r="HD149" s="1708"/>
      <c r="HE149" s="1708"/>
      <c r="HF149" s="1708"/>
      <c r="HG149" s="1708"/>
      <c r="HH149" s="1708"/>
      <c r="HI149" s="1708"/>
      <c r="HJ149" s="1708"/>
      <c r="HK149" s="1708"/>
      <c r="HL149" s="1708"/>
      <c r="HM149" s="1708"/>
      <c r="HN149" s="1708"/>
      <c r="HO149" s="1708"/>
      <c r="HP149" s="1708"/>
      <c r="HQ149" s="1708"/>
      <c r="HR149" s="1708"/>
      <c r="HS149" s="1708"/>
      <c r="HT149" s="1708"/>
      <c r="HU149" s="1708"/>
      <c r="HV149" s="1708"/>
      <c r="HW149" s="1708"/>
      <c r="HX149" s="1708"/>
      <c r="HY149" s="1708"/>
      <c r="HZ149" s="1708"/>
      <c r="IA149" s="1708"/>
      <c r="IB149" s="1708"/>
      <c r="IC149" s="1708"/>
      <c r="ID149" s="1708"/>
      <c r="IE149" s="1708"/>
      <c r="IF149" s="1708"/>
      <c r="IG149" s="1708"/>
      <c r="IH149" s="1708"/>
      <c r="II149" s="1708"/>
      <c r="IJ149" s="1708"/>
      <c r="IK149" s="1708"/>
      <c r="IL149" s="1708"/>
      <c r="IM149" s="1708"/>
      <c r="IN149" s="1708"/>
      <c r="IO149" s="1708"/>
      <c r="IP149" s="1708"/>
      <c r="IQ149" s="1708"/>
      <c r="IR149" s="1708"/>
      <c r="IS149" s="1708"/>
      <c r="IT149" s="1708"/>
      <c r="IU149" s="1708"/>
      <c r="IV149" s="1708"/>
    </row>
    <row r="150" spans="2:256" s="57" customFormat="1" x14ac:dyDescent="0.25">
      <c r="B150" s="1836"/>
      <c r="G150" s="1849"/>
      <c r="J150" s="1850"/>
      <c r="K150" s="1850"/>
      <c r="S150" s="1708"/>
      <c r="T150" s="1708"/>
      <c r="U150" s="1708"/>
      <c r="V150" s="1708"/>
      <c r="W150" s="1708"/>
      <c r="X150" s="1708"/>
      <c r="Y150" s="1708"/>
      <c r="Z150" s="1708"/>
      <c r="AA150" s="1708"/>
      <c r="AB150" s="1708"/>
      <c r="AC150" s="1708"/>
      <c r="AD150" s="1708"/>
      <c r="AE150" s="1708"/>
      <c r="AF150" s="1708"/>
      <c r="AG150" s="1708"/>
      <c r="AH150" s="1708"/>
      <c r="AI150" s="1708"/>
      <c r="AJ150" s="1708"/>
      <c r="AK150" s="1708"/>
      <c r="AL150" s="1708"/>
      <c r="AM150" s="1708"/>
      <c r="AN150" s="1708"/>
      <c r="AO150" s="1708"/>
      <c r="AP150" s="1708"/>
      <c r="AQ150" s="1708"/>
      <c r="AR150" s="1708"/>
      <c r="AS150" s="1708"/>
      <c r="AT150" s="1708"/>
      <c r="AU150" s="1708"/>
      <c r="AV150" s="1708"/>
      <c r="AW150" s="1708"/>
      <c r="AX150" s="1708"/>
      <c r="AY150" s="1708"/>
      <c r="AZ150" s="1708"/>
      <c r="BA150" s="1708"/>
      <c r="BB150" s="1708"/>
      <c r="BC150" s="1708"/>
      <c r="BD150" s="1708"/>
      <c r="BE150" s="1708"/>
      <c r="BF150" s="1708"/>
      <c r="BG150" s="1708"/>
      <c r="BH150" s="1708"/>
      <c r="BI150" s="1708"/>
      <c r="BJ150" s="1708"/>
      <c r="BK150" s="1708"/>
      <c r="BL150" s="1708"/>
      <c r="BM150" s="1708"/>
      <c r="BN150" s="1708"/>
      <c r="BO150" s="1708"/>
      <c r="BP150" s="1708"/>
      <c r="BQ150" s="1708"/>
      <c r="BR150" s="1708"/>
      <c r="BS150" s="1708"/>
      <c r="BT150" s="1708"/>
      <c r="BU150" s="1708"/>
      <c r="BV150" s="1708"/>
      <c r="BW150" s="1708"/>
      <c r="BX150" s="1708"/>
      <c r="BY150" s="1708"/>
      <c r="BZ150" s="1708"/>
      <c r="CA150" s="1708"/>
      <c r="CB150" s="1708"/>
      <c r="CC150" s="1708"/>
      <c r="CD150" s="1708"/>
      <c r="CE150" s="1708"/>
      <c r="CF150" s="1708"/>
      <c r="CG150" s="1708"/>
      <c r="CH150" s="1708"/>
      <c r="CI150" s="1708"/>
      <c r="CJ150" s="1708"/>
      <c r="CK150" s="1708"/>
      <c r="CL150" s="1708"/>
      <c r="CM150" s="1708"/>
      <c r="CN150" s="1708"/>
      <c r="CO150" s="1708"/>
      <c r="CP150" s="1708"/>
      <c r="CQ150" s="1708"/>
      <c r="CR150" s="1708"/>
      <c r="CS150" s="1708"/>
      <c r="CT150" s="1708"/>
      <c r="CU150" s="1708"/>
      <c r="CV150" s="1708"/>
      <c r="CW150" s="1708"/>
      <c r="CX150" s="1708"/>
      <c r="CY150" s="1708"/>
      <c r="CZ150" s="1708"/>
      <c r="DA150" s="1708"/>
      <c r="DB150" s="1708"/>
      <c r="DC150" s="1708"/>
      <c r="DD150" s="1708"/>
      <c r="DE150" s="1708"/>
      <c r="DF150" s="1708"/>
      <c r="DG150" s="1708"/>
      <c r="DH150" s="1708"/>
      <c r="DI150" s="1708"/>
      <c r="DJ150" s="1708"/>
      <c r="DK150" s="1708"/>
      <c r="DL150" s="1708"/>
      <c r="DM150" s="1708"/>
      <c r="DN150" s="1708"/>
      <c r="DO150" s="1708"/>
      <c r="DP150" s="1708"/>
      <c r="DQ150" s="1708"/>
      <c r="DR150" s="1708"/>
      <c r="DS150" s="1708"/>
      <c r="DT150" s="1708"/>
      <c r="DU150" s="1708"/>
      <c r="DV150" s="1708"/>
      <c r="DW150" s="1708"/>
      <c r="DX150" s="1708"/>
      <c r="DY150" s="1708"/>
      <c r="DZ150" s="1708"/>
      <c r="EA150" s="1708"/>
      <c r="EB150" s="1708"/>
      <c r="EC150" s="1708"/>
      <c r="ED150" s="1708"/>
      <c r="EE150" s="1708"/>
      <c r="EF150" s="1708"/>
      <c r="EG150" s="1708"/>
      <c r="EH150" s="1708"/>
      <c r="EI150" s="1708"/>
      <c r="EJ150" s="1708"/>
      <c r="EK150" s="1708"/>
      <c r="EL150" s="1708"/>
      <c r="EM150" s="1708"/>
      <c r="EN150" s="1708"/>
      <c r="EO150" s="1708"/>
      <c r="EP150" s="1708"/>
      <c r="EQ150" s="1708"/>
      <c r="ER150" s="1708"/>
      <c r="ES150" s="1708"/>
      <c r="ET150" s="1708"/>
      <c r="EU150" s="1708"/>
      <c r="EV150" s="1708"/>
      <c r="EW150" s="1708"/>
      <c r="EX150" s="1708"/>
      <c r="EY150" s="1708"/>
      <c r="EZ150" s="1708"/>
      <c r="FA150" s="1708"/>
      <c r="FB150" s="1708"/>
      <c r="FC150" s="1708"/>
      <c r="FD150" s="1708"/>
      <c r="FE150" s="1708"/>
      <c r="FF150" s="1708"/>
      <c r="FG150" s="1708"/>
      <c r="FH150" s="1708"/>
      <c r="FI150" s="1708"/>
      <c r="FJ150" s="1708"/>
      <c r="FK150" s="1708"/>
      <c r="FL150" s="1708"/>
      <c r="FM150" s="1708"/>
      <c r="FN150" s="1708"/>
      <c r="FO150" s="1708"/>
      <c r="FP150" s="1708"/>
      <c r="FQ150" s="1708"/>
      <c r="FR150" s="1708"/>
      <c r="FS150" s="1708"/>
      <c r="FT150" s="1708"/>
      <c r="FU150" s="1708"/>
      <c r="FV150" s="1708"/>
      <c r="FW150" s="1708"/>
      <c r="FX150" s="1708"/>
      <c r="FY150" s="1708"/>
      <c r="FZ150" s="1708"/>
      <c r="GA150" s="1708"/>
      <c r="GB150" s="1708"/>
      <c r="GC150" s="1708"/>
      <c r="GD150" s="1708"/>
      <c r="GE150" s="1708"/>
      <c r="GF150" s="1708"/>
      <c r="GG150" s="1708"/>
      <c r="GH150" s="1708"/>
      <c r="GI150" s="1708"/>
      <c r="GJ150" s="1708"/>
      <c r="GK150" s="1708"/>
      <c r="GL150" s="1708"/>
      <c r="GM150" s="1708"/>
      <c r="GN150" s="1708"/>
      <c r="GO150" s="1708"/>
      <c r="GP150" s="1708"/>
      <c r="GQ150" s="1708"/>
      <c r="GR150" s="1708"/>
      <c r="GS150" s="1708"/>
      <c r="GT150" s="1708"/>
      <c r="GU150" s="1708"/>
      <c r="GV150" s="1708"/>
      <c r="GW150" s="1708"/>
      <c r="GX150" s="1708"/>
      <c r="GY150" s="1708"/>
      <c r="GZ150" s="1708"/>
      <c r="HA150" s="1708"/>
      <c r="HB150" s="1708"/>
      <c r="HC150" s="1708"/>
      <c r="HD150" s="1708"/>
      <c r="HE150" s="1708"/>
      <c r="HF150" s="1708"/>
      <c r="HG150" s="1708"/>
      <c r="HH150" s="1708"/>
      <c r="HI150" s="1708"/>
      <c r="HJ150" s="1708"/>
      <c r="HK150" s="1708"/>
      <c r="HL150" s="1708"/>
      <c r="HM150" s="1708"/>
      <c r="HN150" s="1708"/>
      <c r="HO150" s="1708"/>
      <c r="HP150" s="1708"/>
      <c r="HQ150" s="1708"/>
      <c r="HR150" s="1708"/>
      <c r="HS150" s="1708"/>
      <c r="HT150" s="1708"/>
      <c r="HU150" s="1708"/>
      <c r="HV150" s="1708"/>
      <c r="HW150" s="1708"/>
      <c r="HX150" s="1708"/>
      <c r="HY150" s="1708"/>
      <c r="HZ150" s="1708"/>
      <c r="IA150" s="1708"/>
      <c r="IB150" s="1708"/>
      <c r="IC150" s="1708"/>
      <c r="ID150" s="1708"/>
      <c r="IE150" s="1708"/>
      <c r="IF150" s="1708"/>
      <c r="IG150" s="1708"/>
      <c r="IH150" s="1708"/>
      <c r="II150" s="1708"/>
      <c r="IJ150" s="1708"/>
      <c r="IK150" s="1708"/>
      <c r="IL150" s="1708"/>
      <c r="IM150" s="1708"/>
      <c r="IN150" s="1708"/>
      <c r="IO150" s="1708"/>
      <c r="IP150" s="1708"/>
      <c r="IQ150" s="1708"/>
      <c r="IR150" s="1708"/>
      <c r="IS150" s="1708"/>
      <c r="IT150" s="1708"/>
      <c r="IU150" s="1708"/>
      <c r="IV150" s="1708"/>
    </row>
    <row r="151" spans="2:256" s="57" customFormat="1" x14ac:dyDescent="0.25">
      <c r="B151" s="1836"/>
      <c r="G151" s="1849"/>
      <c r="J151" s="1850"/>
      <c r="K151" s="1850"/>
      <c r="S151" s="1708"/>
      <c r="T151" s="1708"/>
      <c r="U151" s="1708"/>
      <c r="V151" s="1708"/>
      <c r="W151" s="1708"/>
      <c r="X151" s="1708"/>
      <c r="Y151" s="1708"/>
      <c r="Z151" s="1708"/>
      <c r="AA151" s="1708"/>
      <c r="AB151" s="1708"/>
      <c r="AC151" s="1708"/>
      <c r="AD151" s="1708"/>
      <c r="AE151" s="1708"/>
      <c r="AF151" s="1708"/>
      <c r="AG151" s="1708"/>
      <c r="AH151" s="1708"/>
      <c r="AI151" s="1708"/>
      <c r="AJ151" s="1708"/>
      <c r="AK151" s="1708"/>
      <c r="AL151" s="1708"/>
      <c r="AM151" s="1708"/>
      <c r="AN151" s="1708"/>
      <c r="AO151" s="1708"/>
      <c r="AP151" s="1708"/>
      <c r="AQ151" s="1708"/>
      <c r="AR151" s="1708"/>
      <c r="AS151" s="1708"/>
      <c r="AT151" s="1708"/>
      <c r="AU151" s="1708"/>
      <c r="AV151" s="1708"/>
      <c r="AW151" s="1708"/>
      <c r="AX151" s="1708"/>
      <c r="AY151" s="1708"/>
      <c r="AZ151" s="1708"/>
      <c r="BA151" s="1708"/>
      <c r="BB151" s="1708"/>
      <c r="BC151" s="1708"/>
      <c r="BD151" s="1708"/>
      <c r="BE151" s="1708"/>
      <c r="BF151" s="1708"/>
      <c r="BG151" s="1708"/>
      <c r="BH151" s="1708"/>
      <c r="BI151" s="1708"/>
      <c r="BJ151" s="1708"/>
      <c r="BK151" s="1708"/>
      <c r="BL151" s="1708"/>
      <c r="BM151" s="1708"/>
      <c r="BN151" s="1708"/>
      <c r="BO151" s="1708"/>
      <c r="BP151" s="1708"/>
      <c r="BQ151" s="1708"/>
      <c r="BR151" s="1708"/>
      <c r="BS151" s="1708"/>
      <c r="BT151" s="1708"/>
      <c r="BU151" s="1708"/>
      <c r="BV151" s="1708"/>
      <c r="BW151" s="1708"/>
      <c r="BX151" s="1708"/>
      <c r="BY151" s="1708"/>
      <c r="BZ151" s="1708"/>
      <c r="CA151" s="1708"/>
      <c r="CB151" s="1708"/>
      <c r="CC151" s="1708"/>
      <c r="CD151" s="1708"/>
      <c r="CE151" s="1708"/>
      <c r="CF151" s="1708"/>
      <c r="CG151" s="1708"/>
      <c r="CH151" s="1708"/>
      <c r="CI151" s="1708"/>
      <c r="CJ151" s="1708"/>
      <c r="CK151" s="1708"/>
      <c r="CL151" s="1708"/>
      <c r="CM151" s="1708"/>
      <c r="CN151" s="1708"/>
      <c r="CO151" s="1708"/>
      <c r="CP151" s="1708"/>
      <c r="CQ151" s="1708"/>
      <c r="CR151" s="1708"/>
      <c r="CS151" s="1708"/>
      <c r="CT151" s="1708"/>
      <c r="CU151" s="1708"/>
      <c r="CV151" s="1708"/>
      <c r="CW151" s="1708"/>
      <c r="CX151" s="1708"/>
      <c r="CY151" s="1708"/>
      <c r="CZ151" s="1708"/>
      <c r="DA151" s="1708"/>
      <c r="DB151" s="1708"/>
      <c r="DC151" s="1708"/>
      <c r="DD151" s="1708"/>
      <c r="DE151" s="1708"/>
      <c r="DF151" s="1708"/>
      <c r="DG151" s="1708"/>
      <c r="DH151" s="1708"/>
      <c r="DI151" s="1708"/>
      <c r="DJ151" s="1708"/>
      <c r="DK151" s="1708"/>
      <c r="DL151" s="1708"/>
      <c r="DM151" s="1708"/>
      <c r="DN151" s="1708"/>
      <c r="DO151" s="1708"/>
      <c r="DP151" s="1708"/>
      <c r="DQ151" s="1708"/>
      <c r="DR151" s="1708"/>
      <c r="DS151" s="1708"/>
      <c r="DT151" s="1708"/>
      <c r="DU151" s="1708"/>
      <c r="DV151" s="1708"/>
      <c r="DW151" s="1708"/>
      <c r="DX151" s="1708"/>
      <c r="DY151" s="1708"/>
      <c r="DZ151" s="1708"/>
      <c r="EA151" s="1708"/>
      <c r="EB151" s="1708"/>
      <c r="EC151" s="1708"/>
      <c r="ED151" s="1708"/>
      <c r="EE151" s="1708"/>
      <c r="EF151" s="1708"/>
      <c r="EG151" s="1708"/>
      <c r="EH151" s="1708"/>
      <c r="EI151" s="1708"/>
      <c r="EJ151" s="1708"/>
      <c r="EK151" s="1708"/>
      <c r="EL151" s="1708"/>
      <c r="EM151" s="1708"/>
      <c r="EN151" s="1708"/>
      <c r="EO151" s="1708"/>
      <c r="EP151" s="1708"/>
      <c r="EQ151" s="1708"/>
      <c r="ER151" s="1708"/>
      <c r="ES151" s="1708"/>
      <c r="ET151" s="1708"/>
      <c r="EU151" s="1708"/>
      <c r="EV151" s="1708"/>
      <c r="EW151" s="1708"/>
      <c r="EX151" s="1708"/>
      <c r="EY151" s="1708"/>
      <c r="EZ151" s="1708"/>
      <c r="FA151" s="1708"/>
      <c r="FB151" s="1708"/>
      <c r="FC151" s="1708"/>
      <c r="FD151" s="1708"/>
      <c r="FE151" s="1708"/>
      <c r="FF151" s="1708"/>
      <c r="FG151" s="1708"/>
      <c r="FH151" s="1708"/>
      <c r="FI151" s="1708"/>
      <c r="FJ151" s="1708"/>
      <c r="FK151" s="1708"/>
      <c r="FL151" s="1708"/>
      <c r="FM151" s="1708"/>
      <c r="FN151" s="1708"/>
      <c r="FO151" s="1708"/>
      <c r="FP151" s="1708"/>
      <c r="FQ151" s="1708"/>
      <c r="FR151" s="1708"/>
      <c r="FS151" s="1708"/>
      <c r="FT151" s="1708"/>
      <c r="FU151" s="1708"/>
      <c r="FV151" s="1708"/>
      <c r="FW151" s="1708"/>
      <c r="FX151" s="1708"/>
      <c r="FY151" s="1708"/>
      <c r="FZ151" s="1708"/>
      <c r="GA151" s="1708"/>
      <c r="GB151" s="1708"/>
      <c r="GC151" s="1708"/>
      <c r="GD151" s="1708"/>
      <c r="GE151" s="1708"/>
      <c r="GF151" s="1708"/>
      <c r="GG151" s="1708"/>
      <c r="GH151" s="1708"/>
      <c r="GI151" s="1708"/>
      <c r="GJ151" s="1708"/>
      <c r="GK151" s="1708"/>
      <c r="GL151" s="1708"/>
      <c r="GM151" s="1708"/>
      <c r="GN151" s="1708"/>
      <c r="GO151" s="1708"/>
      <c r="GP151" s="1708"/>
      <c r="GQ151" s="1708"/>
      <c r="GR151" s="1708"/>
      <c r="GS151" s="1708"/>
      <c r="GT151" s="1708"/>
      <c r="GU151" s="1708"/>
      <c r="GV151" s="1708"/>
      <c r="GW151" s="1708"/>
      <c r="GX151" s="1708"/>
      <c r="GY151" s="1708"/>
      <c r="GZ151" s="1708"/>
      <c r="HA151" s="1708"/>
      <c r="HB151" s="1708"/>
      <c r="HC151" s="1708"/>
      <c r="HD151" s="1708"/>
      <c r="HE151" s="1708"/>
      <c r="HF151" s="1708"/>
      <c r="HG151" s="1708"/>
      <c r="HH151" s="1708"/>
      <c r="HI151" s="1708"/>
      <c r="HJ151" s="1708"/>
      <c r="HK151" s="1708"/>
      <c r="HL151" s="1708"/>
      <c r="HM151" s="1708"/>
      <c r="HN151" s="1708"/>
      <c r="HO151" s="1708"/>
      <c r="HP151" s="1708"/>
      <c r="HQ151" s="1708"/>
      <c r="HR151" s="1708"/>
      <c r="HS151" s="1708"/>
      <c r="HT151" s="1708"/>
      <c r="HU151" s="1708"/>
      <c r="HV151" s="1708"/>
      <c r="HW151" s="1708"/>
      <c r="HX151" s="1708"/>
      <c r="HY151" s="1708"/>
      <c r="HZ151" s="1708"/>
      <c r="IA151" s="1708"/>
      <c r="IB151" s="1708"/>
      <c r="IC151" s="1708"/>
      <c r="ID151" s="1708"/>
      <c r="IE151" s="1708"/>
      <c r="IF151" s="1708"/>
      <c r="IG151" s="1708"/>
      <c r="IH151" s="1708"/>
      <c r="II151" s="1708"/>
      <c r="IJ151" s="1708"/>
      <c r="IK151" s="1708"/>
      <c r="IL151" s="1708"/>
      <c r="IM151" s="1708"/>
      <c r="IN151" s="1708"/>
      <c r="IO151" s="1708"/>
      <c r="IP151" s="1708"/>
      <c r="IQ151" s="1708"/>
      <c r="IR151" s="1708"/>
      <c r="IS151" s="1708"/>
      <c r="IT151" s="1708"/>
      <c r="IU151" s="1708"/>
      <c r="IV151" s="1708"/>
    </row>
    <row r="152" spans="2:256" s="57" customFormat="1" x14ac:dyDescent="0.25">
      <c r="B152" s="1836"/>
      <c r="G152" s="1849"/>
      <c r="J152" s="1850"/>
      <c r="K152" s="1850"/>
      <c r="S152" s="1708"/>
      <c r="T152" s="1708"/>
      <c r="U152" s="1708"/>
      <c r="V152" s="1708"/>
      <c r="W152" s="1708"/>
      <c r="X152" s="1708"/>
      <c r="Y152" s="1708"/>
      <c r="Z152" s="1708"/>
      <c r="AA152" s="1708"/>
      <c r="AB152" s="1708"/>
      <c r="AC152" s="1708"/>
      <c r="AD152" s="1708"/>
      <c r="AE152" s="1708"/>
      <c r="AF152" s="1708"/>
      <c r="AG152" s="1708"/>
      <c r="AH152" s="1708"/>
      <c r="AI152" s="1708"/>
      <c r="AJ152" s="1708"/>
      <c r="AK152" s="1708"/>
      <c r="AL152" s="1708"/>
      <c r="AM152" s="1708"/>
      <c r="AN152" s="1708"/>
      <c r="AO152" s="1708"/>
      <c r="AP152" s="1708"/>
      <c r="AQ152" s="1708"/>
      <c r="AR152" s="1708"/>
      <c r="AS152" s="1708"/>
      <c r="AT152" s="1708"/>
      <c r="AU152" s="1708"/>
      <c r="AV152" s="1708"/>
      <c r="AW152" s="1708"/>
      <c r="AX152" s="1708"/>
      <c r="AY152" s="1708"/>
      <c r="AZ152" s="1708"/>
      <c r="BA152" s="1708"/>
      <c r="BB152" s="1708"/>
      <c r="BC152" s="1708"/>
      <c r="BD152" s="1708"/>
      <c r="BE152" s="1708"/>
      <c r="BF152" s="1708"/>
      <c r="BG152" s="1708"/>
      <c r="BH152" s="1708"/>
      <c r="BI152" s="1708"/>
      <c r="BJ152" s="1708"/>
      <c r="BK152" s="1708"/>
      <c r="BL152" s="1708"/>
      <c r="BM152" s="1708"/>
      <c r="BN152" s="1708"/>
      <c r="BO152" s="1708"/>
      <c r="BP152" s="1708"/>
      <c r="BQ152" s="1708"/>
      <c r="BR152" s="1708"/>
      <c r="BS152" s="1708"/>
      <c r="BT152" s="1708"/>
      <c r="BU152" s="1708"/>
      <c r="BV152" s="1708"/>
      <c r="BW152" s="1708"/>
      <c r="BX152" s="1708"/>
      <c r="BY152" s="1708"/>
      <c r="BZ152" s="1708"/>
      <c r="CA152" s="1708"/>
      <c r="CB152" s="1708"/>
      <c r="CC152" s="1708"/>
      <c r="CD152" s="1708"/>
      <c r="CE152" s="1708"/>
      <c r="CF152" s="1708"/>
      <c r="CG152" s="1708"/>
      <c r="CH152" s="1708"/>
      <c r="CI152" s="1708"/>
      <c r="CJ152" s="1708"/>
      <c r="CK152" s="1708"/>
      <c r="CL152" s="1708"/>
      <c r="CM152" s="1708"/>
      <c r="CN152" s="1708"/>
      <c r="CO152" s="1708"/>
      <c r="CP152" s="1708"/>
      <c r="CQ152" s="1708"/>
      <c r="CR152" s="1708"/>
      <c r="CS152" s="1708"/>
      <c r="CT152" s="1708"/>
      <c r="CU152" s="1708"/>
      <c r="CV152" s="1708"/>
      <c r="CW152" s="1708"/>
      <c r="CX152" s="1708"/>
      <c r="CY152" s="1708"/>
      <c r="CZ152" s="1708"/>
      <c r="DA152" s="1708"/>
      <c r="DB152" s="1708"/>
      <c r="DC152" s="1708"/>
      <c r="DD152" s="1708"/>
      <c r="DE152" s="1708"/>
      <c r="DF152" s="1708"/>
      <c r="DG152" s="1708"/>
      <c r="DH152" s="1708"/>
      <c r="DI152" s="1708"/>
      <c r="DJ152" s="1708"/>
      <c r="DK152" s="1708"/>
      <c r="DL152" s="1708"/>
      <c r="DM152" s="1708"/>
      <c r="DN152" s="1708"/>
      <c r="DO152" s="1708"/>
      <c r="DP152" s="1708"/>
      <c r="DQ152" s="1708"/>
      <c r="DR152" s="1708"/>
      <c r="DS152" s="1708"/>
      <c r="DT152" s="1708"/>
      <c r="DU152" s="1708"/>
      <c r="DV152" s="1708"/>
      <c r="DW152" s="1708"/>
      <c r="DX152" s="1708"/>
      <c r="DY152" s="1708"/>
      <c r="DZ152" s="1708"/>
      <c r="EA152" s="1708"/>
      <c r="EB152" s="1708"/>
      <c r="EC152" s="1708"/>
      <c r="ED152" s="1708"/>
      <c r="EE152" s="1708"/>
      <c r="EF152" s="1708"/>
      <c r="EG152" s="1708"/>
      <c r="EH152" s="1708"/>
      <c r="EI152" s="1708"/>
      <c r="EJ152" s="1708"/>
      <c r="EK152" s="1708"/>
      <c r="EL152" s="1708"/>
      <c r="EM152" s="1708"/>
      <c r="EN152" s="1708"/>
      <c r="EO152" s="1708"/>
      <c r="EP152" s="1708"/>
      <c r="EQ152" s="1708"/>
      <c r="ER152" s="1708"/>
      <c r="ES152" s="1708"/>
      <c r="ET152" s="1708"/>
      <c r="EU152" s="1708"/>
      <c r="EV152" s="1708"/>
      <c r="EW152" s="1708"/>
      <c r="EX152" s="1708"/>
      <c r="EY152" s="1708"/>
      <c r="EZ152" s="1708"/>
      <c r="FA152" s="1708"/>
      <c r="FB152" s="1708"/>
      <c r="FC152" s="1708"/>
      <c r="FD152" s="1708"/>
      <c r="FE152" s="1708"/>
      <c r="FF152" s="1708"/>
      <c r="FG152" s="1708"/>
      <c r="FH152" s="1708"/>
      <c r="FI152" s="1708"/>
      <c r="FJ152" s="1708"/>
      <c r="FK152" s="1708"/>
      <c r="FL152" s="1708"/>
      <c r="FM152" s="1708"/>
      <c r="FN152" s="1708"/>
      <c r="FO152" s="1708"/>
      <c r="FP152" s="1708"/>
      <c r="FQ152" s="1708"/>
      <c r="FR152" s="1708"/>
      <c r="FS152" s="1708"/>
      <c r="FT152" s="1708"/>
      <c r="FU152" s="1708"/>
      <c r="FV152" s="1708"/>
      <c r="FW152" s="1708"/>
      <c r="FX152" s="1708"/>
      <c r="FY152" s="1708"/>
      <c r="FZ152" s="1708"/>
      <c r="GA152" s="1708"/>
      <c r="GB152" s="1708"/>
      <c r="GC152" s="1708"/>
      <c r="GD152" s="1708"/>
      <c r="GE152" s="1708"/>
      <c r="GF152" s="1708"/>
      <c r="GG152" s="1708"/>
      <c r="GH152" s="1708"/>
      <c r="GI152" s="1708"/>
      <c r="GJ152" s="1708"/>
      <c r="GK152" s="1708"/>
      <c r="GL152" s="1708"/>
      <c r="GM152" s="1708"/>
      <c r="GN152" s="1708"/>
      <c r="GO152" s="1708"/>
      <c r="GP152" s="1708"/>
      <c r="GQ152" s="1708"/>
      <c r="GR152" s="1708"/>
      <c r="GS152" s="1708"/>
      <c r="GT152" s="1708"/>
      <c r="GU152" s="1708"/>
      <c r="GV152" s="1708"/>
      <c r="GW152" s="1708"/>
      <c r="GX152" s="1708"/>
      <c r="GY152" s="1708"/>
      <c r="GZ152" s="1708"/>
      <c r="HA152" s="1708"/>
      <c r="HB152" s="1708"/>
      <c r="HC152" s="1708"/>
      <c r="HD152" s="1708"/>
      <c r="HE152" s="1708"/>
      <c r="HF152" s="1708"/>
      <c r="HG152" s="1708"/>
      <c r="HH152" s="1708"/>
      <c r="HI152" s="1708"/>
      <c r="HJ152" s="1708"/>
      <c r="HK152" s="1708"/>
      <c r="HL152" s="1708"/>
      <c r="HM152" s="1708"/>
      <c r="HN152" s="1708"/>
      <c r="HO152" s="1708"/>
      <c r="HP152" s="1708"/>
      <c r="HQ152" s="1708"/>
      <c r="HR152" s="1708"/>
      <c r="HS152" s="1708"/>
      <c r="HT152" s="1708"/>
      <c r="HU152" s="1708"/>
      <c r="HV152" s="1708"/>
      <c r="HW152" s="1708"/>
      <c r="HX152" s="1708"/>
      <c r="HY152" s="1708"/>
      <c r="HZ152" s="1708"/>
      <c r="IA152" s="1708"/>
      <c r="IB152" s="1708"/>
      <c r="IC152" s="1708"/>
      <c r="ID152" s="1708"/>
      <c r="IE152" s="1708"/>
      <c r="IF152" s="1708"/>
      <c r="IG152" s="1708"/>
      <c r="IH152" s="1708"/>
      <c r="II152" s="1708"/>
      <c r="IJ152" s="1708"/>
      <c r="IK152" s="1708"/>
      <c r="IL152" s="1708"/>
      <c r="IM152" s="1708"/>
      <c r="IN152" s="1708"/>
      <c r="IO152" s="1708"/>
      <c r="IP152" s="1708"/>
      <c r="IQ152" s="1708"/>
      <c r="IR152" s="1708"/>
      <c r="IS152" s="1708"/>
      <c r="IT152" s="1708"/>
      <c r="IU152" s="1708"/>
      <c r="IV152" s="1708"/>
    </row>
    <row r="153" spans="2:256" s="57" customFormat="1" x14ac:dyDescent="0.25">
      <c r="B153" s="1836"/>
      <c r="G153" s="1849"/>
      <c r="J153" s="1850"/>
      <c r="K153" s="1850"/>
      <c r="S153" s="1708"/>
      <c r="T153" s="1708"/>
      <c r="U153" s="1708"/>
      <c r="V153" s="1708"/>
      <c r="W153" s="1708"/>
      <c r="X153" s="1708"/>
      <c r="Y153" s="1708"/>
      <c r="Z153" s="1708"/>
      <c r="AA153" s="1708"/>
      <c r="AB153" s="1708"/>
      <c r="AC153" s="1708"/>
      <c r="AD153" s="1708"/>
      <c r="AE153" s="1708"/>
      <c r="AF153" s="1708"/>
      <c r="AG153" s="1708"/>
      <c r="AH153" s="1708"/>
      <c r="AI153" s="1708"/>
      <c r="AJ153" s="1708"/>
      <c r="AK153" s="1708"/>
      <c r="AL153" s="1708"/>
      <c r="AM153" s="1708"/>
      <c r="AN153" s="1708"/>
      <c r="AO153" s="1708"/>
      <c r="AP153" s="1708"/>
      <c r="AQ153" s="1708"/>
      <c r="AR153" s="1708"/>
      <c r="AS153" s="1708"/>
      <c r="AT153" s="1708"/>
      <c r="AU153" s="1708"/>
      <c r="AV153" s="1708"/>
      <c r="AW153" s="1708"/>
      <c r="AX153" s="1708"/>
      <c r="AY153" s="1708"/>
      <c r="AZ153" s="1708"/>
      <c r="BA153" s="1708"/>
      <c r="BB153" s="1708"/>
      <c r="BC153" s="1708"/>
      <c r="BD153" s="1708"/>
      <c r="BE153" s="1708"/>
      <c r="BF153" s="1708"/>
      <c r="BG153" s="1708"/>
      <c r="BH153" s="1708"/>
      <c r="BI153" s="1708"/>
      <c r="BJ153" s="1708"/>
      <c r="BK153" s="1708"/>
      <c r="BL153" s="1708"/>
      <c r="BM153" s="1708"/>
      <c r="BN153" s="1708"/>
      <c r="BO153" s="1708"/>
      <c r="BP153" s="1708"/>
      <c r="BQ153" s="1708"/>
      <c r="BR153" s="1708"/>
      <c r="BS153" s="1708"/>
      <c r="BT153" s="1708"/>
      <c r="BU153" s="1708"/>
      <c r="BV153" s="1708"/>
      <c r="BW153" s="1708"/>
      <c r="BX153" s="1708"/>
      <c r="BY153" s="1708"/>
      <c r="BZ153" s="1708"/>
      <c r="CA153" s="1708"/>
      <c r="CB153" s="1708"/>
      <c r="CC153" s="1708"/>
      <c r="CD153" s="1708"/>
      <c r="CE153" s="1708"/>
      <c r="CF153" s="1708"/>
      <c r="CG153" s="1708"/>
      <c r="CH153" s="1708"/>
      <c r="CI153" s="1708"/>
      <c r="CJ153" s="1708"/>
      <c r="CK153" s="1708"/>
      <c r="CL153" s="1708"/>
      <c r="CM153" s="1708"/>
      <c r="CN153" s="1708"/>
      <c r="CO153" s="1708"/>
      <c r="CP153" s="1708"/>
      <c r="CQ153" s="1708"/>
      <c r="CR153" s="1708"/>
      <c r="CS153" s="1708"/>
      <c r="CT153" s="1708"/>
      <c r="CU153" s="1708"/>
      <c r="CV153" s="1708"/>
      <c r="CW153" s="1708"/>
      <c r="CX153" s="1708"/>
      <c r="CY153" s="1708"/>
      <c r="CZ153" s="1708"/>
      <c r="DA153" s="1708"/>
      <c r="DB153" s="1708"/>
      <c r="DC153" s="1708"/>
      <c r="DD153" s="1708"/>
      <c r="DE153" s="1708"/>
      <c r="DF153" s="1708"/>
      <c r="DG153" s="1708"/>
      <c r="DH153" s="1708"/>
      <c r="DI153" s="1708"/>
      <c r="DJ153" s="1708"/>
      <c r="DK153" s="1708"/>
      <c r="DL153" s="1708"/>
      <c r="DM153" s="1708"/>
      <c r="DN153" s="1708"/>
      <c r="DO153" s="1708"/>
      <c r="DP153" s="1708"/>
      <c r="DQ153" s="1708"/>
      <c r="DR153" s="1708"/>
      <c r="DS153" s="1708"/>
      <c r="DT153" s="1708"/>
      <c r="DU153" s="1708"/>
      <c r="DV153" s="1708"/>
      <c r="DW153" s="1708"/>
      <c r="DX153" s="1708"/>
      <c r="DY153" s="1708"/>
      <c r="DZ153" s="1708"/>
      <c r="EA153" s="1708"/>
      <c r="EB153" s="1708"/>
      <c r="EC153" s="1708"/>
      <c r="ED153" s="1708"/>
      <c r="EE153" s="1708"/>
      <c r="EF153" s="1708"/>
      <c r="EG153" s="1708"/>
      <c r="EH153" s="1708"/>
      <c r="EI153" s="1708"/>
      <c r="EJ153" s="1708"/>
      <c r="EK153" s="1708"/>
      <c r="EL153" s="1708"/>
      <c r="EM153" s="1708"/>
      <c r="EN153" s="1708"/>
      <c r="EO153" s="1708"/>
      <c r="EP153" s="1708"/>
      <c r="EQ153" s="1708"/>
      <c r="ER153" s="1708"/>
      <c r="ES153" s="1708"/>
      <c r="ET153" s="1708"/>
      <c r="EU153" s="1708"/>
      <c r="EV153" s="1708"/>
      <c r="EW153" s="1708"/>
      <c r="EX153" s="1708"/>
      <c r="EY153" s="1708"/>
      <c r="EZ153" s="1708"/>
      <c r="FA153" s="1708"/>
      <c r="FB153" s="1708"/>
      <c r="FC153" s="1708"/>
      <c r="FD153" s="1708"/>
      <c r="FE153" s="1708"/>
      <c r="FF153" s="1708"/>
      <c r="FG153" s="1708"/>
      <c r="FH153" s="1708"/>
      <c r="FI153" s="1708"/>
      <c r="FJ153" s="1708"/>
      <c r="FK153" s="1708"/>
      <c r="FL153" s="1708"/>
      <c r="FM153" s="1708"/>
      <c r="FN153" s="1708"/>
      <c r="FO153" s="1708"/>
      <c r="FP153" s="1708"/>
      <c r="FQ153" s="1708"/>
      <c r="FR153" s="1708"/>
      <c r="FS153" s="1708"/>
      <c r="FT153" s="1708"/>
      <c r="FU153" s="1708"/>
      <c r="FV153" s="1708"/>
      <c r="FW153" s="1708"/>
      <c r="FX153" s="1708"/>
      <c r="FY153" s="1708"/>
      <c r="FZ153" s="1708"/>
      <c r="GA153" s="1708"/>
      <c r="GB153" s="1708"/>
      <c r="GC153" s="1708"/>
      <c r="GD153" s="1708"/>
      <c r="GE153" s="1708"/>
      <c r="GF153" s="1708"/>
      <c r="GG153" s="1708"/>
      <c r="GH153" s="1708"/>
      <c r="GI153" s="1708"/>
      <c r="GJ153" s="1708"/>
      <c r="GK153" s="1708"/>
      <c r="GL153" s="1708"/>
      <c r="GM153" s="1708"/>
      <c r="GN153" s="1708"/>
      <c r="GO153" s="1708"/>
      <c r="GP153" s="1708"/>
      <c r="GQ153" s="1708"/>
      <c r="GR153" s="1708"/>
      <c r="GS153" s="1708"/>
      <c r="GT153" s="1708"/>
      <c r="GU153" s="1708"/>
      <c r="GV153" s="1708"/>
      <c r="GW153" s="1708"/>
      <c r="GX153" s="1708"/>
      <c r="GY153" s="1708"/>
      <c r="GZ153" s="1708"/>
      <c r="HA153" s="1708"/>
      <c r="HB153" s="1708"/>
      <c r="HC153" s="1708"/>
      <c r="HD153" s="1708"/>
      <c r="HE153" s="1708"/>
      <c r="HF153" s="1708"/>
      <c r="HG153" s="1708"/>
      <c r="HH153" s="1708"/>
      <c r="HI153" s="1708"/>
      <c r="HJ153" s="1708"/>
      <c r="HK153" s="1708"/>
      <c r="HL153" s="1708"/>
      <c r="HM153" s="1708"/>
      <c r="HN153" s="1708"/>
      <c r="HO153" s="1708"/>
      <c r="HP153" s="1708"/>
      <c r="HQ153" s="1708"/>
      <c r="HR153" s="1708"/>
      <c r="HS153" s="1708"/>
      <c r="HT153" s="1708"/>
      <c r="HU153" s="1708"/>
      <c r="HV153" s="1708"/>
      <c r="HW153" s="1708"/>
      <c r="HX153" s="1708"/>
      <c r="HY153" s="1708"/>
      <c r="HZ153" s="1708"/>
      <c r="IA153" s="1708"/>
      <c r="IB153" s="1708"/>
      <c r="IC153" s="1708"/>
      <c r="ID153" s="1708"/>
      <c r="IE153" s="1708"/>
      <c r="IF153" s="1708"/>
      <c r="IG153" s="1708"/>
      <c r="IH153" s="1708"/>
      <c r="II153" s="1708"/>
      <c r="IJ153" s="1708"/>
      <c r="IK153" s="1708"/>
      <c r="IL153" s="1708"/>
      <c r="IM153" s="1708"/>
      <c r="IN153" s="1708"/>
      <c r="IO153" s="1708"/>
      <c r="IP153" s="1708"/>
      <c r="IQ153" s="1708"/>
      <c r="IR153" s="1708"/>
      <c r="IS153" s="1708"/>
      <c r="IT153" s="1708"/>
      <c r="IU153" s="1708"/>
      <c r="IV153" s="1708"/>
    </row>
    <row r="154" spans="2:256" s="57" customFormat="1" x14ac:dyDescent="0.25">
      <c r="B154" s="1836"/>
      <c r="G154" s="1849"/>
      <c r="J154" s="1850"/>
      <c r="K154" s="1850"/>
      <c r="S154" s="1708"/>
      <c r="T154" s="1708"/>
      <c r="U154" s="1708"/>
      <c r="V154" s="1708"/>
      <c r="W154" s="1708"/>
      <c r="X154" s="1708"/>
      <c r="Y154" s="1708"/>
      <c r="Z154" s="1708"/>
      <c r="AA154" s="1708"/>
      <c r="AB154" s="1708"/>
      <c r="AC154" s="1708"/>
      <c r="AD154" s="1708"/>
      <c r="AE154" s="1708"/>
      <c r="AF154" s="1708"/>
      <c r="AG154" s="1708"/>
      <c r="AH154" s="1708"/>
      <c r="AI154" s="1708"/>
      <c r="AJ154" s="1708"/>
      <c r="AK154" s="1708"/>
      <c r="AL154" s="1708"/>
      <c r="AM154" s="1708"/>
      <c r="AN154" s="1708"/>
      <c r="AO154" s="1708"/>
      <c r="AP154" s="1708"/>
      <c r="AQ154" s="1708"/>
      <c r="AR154" s="1708"/>
      <c r="AS154" s="1708"/>
      <c r="AT154" s="1708"/>
      <c r="AU154" s="1708"/>
      <c r="AV154" s="1708"/>
      <c r="AW154" s="1708"/>
      <c r="AX154" s="1708"/>
      <c r="AY154" s="1708"/>
      <c r="AZ154" s="1708"/>
      <c r="BA154" s="1708"/>
      <c r="BB154" s="1708"/>
      <c r="BC154" s="1708"/>
      <c r="BD154" s="1708"/>
      <c r="BE154" s="1708"/>
      <c r="BF154" s="1708"/>
      <c r="BG154" s="1708"/>
      <c r="BH154" s="1708"/>
      <c r="BI154" s="1708"/>
      <c r="BJ154" s="1708"/>
      <c r="BK154" s="1708"/>
      <c r="BL154" s="1708"/>
      <c r="BM154" s="1708"/>
      <c r="BN154" s="1708"/>
      <c r="BO154" s="1708"/>
      <c r="BP154" s="1708"/>
      <c r="BQ154" s="1708"/>
      <c r="BR154" s="1708"/>
      <c r="BS154" s="1708"/>
      <c r="BT154" s="1708"/>
      <c r="BU154" s="1708"/>
      <c r="BV154" s="1708"/>
      <c r="BW154" s="1708"/>
      <c r="BX154" s="1708"/>
      <c r="BY154" s="1708"/>
      <c r="BZ154" s="1708"/>
      <c r="CA154" s="1708"/>
      <c r="CB154" s="1708"/>
      <c r="CC154" s="1708"/>
      <c r="CD154" s="1708"/>
      <c r="CE154" s="1708"/>
      <c r="CF154" s="1708"/>
      <c r="CG154" s="1708"/>
      <c r="CH154" s="1708"/>
      <c r="CI154" s="1708"/>
      <c r="CJ154" s="1708"/>
      <c r="CK154" s="1708"/>
      <c r="CL154" s="1708"/>
      <c r="CM154" s="1708"/>
      <c r="CN154" s="1708"/>
      <c r="CO154" s="1708"/>
      <c r="CP154" s="1708"/>
      <c r="CQ154" s="1708"/>
      <c r="CR154" s="1708"/>
      <c r="CS154" s="1708"/>
      <c r="CT154" s="1708"/>
      <c r="CU154" s="1708"/>
      <c r="CV154" s="1708"/>
      <c r="CW154" s="1708"/>
      <c r="CX154" s="1708"/>
      <c r="CY154" s="1708"/>
      <c r="CZ154" s="1708"/>
      <c r="DA154" s="1708"/>
      <c r="DB154" s="1708"/>
      <c r="DC154" s="1708"/>
      <c r="DD154" s="1708"/>
      <c r="DE154" s="1708"/>
      <c r="DF154" s="1708"/>
      <c r="DG154" s="1708"/>
      <c r="DH154" s="1708"/>
      <c r="DI154" s="1708"/>
      <c r="DJ154" s="1708"/>
      <c r="DK154" s="1708"/>
      <c r="DL154" s="1708"/>
      <c r="DM154" s="1708"/>
      <c r="DN154" s="1708"/>
      <c r="DO154" s="1708"/>
      <c r="DP154" s="1708"/>
      <c r="DQ154" s="1708"/>
      <c r="DR154" s="1708"/>
      <c r="DS154" s="1708"/>
      <c r="DT154" s="1708"/>
      <c r="DU154" s="1708"/>
      <c r="DV154" s="1708"/>
      <c r="DW154" s="1708"/>
      <c r="DX154" s="1708"/>
      <c r="DY154" s="1708"/>
      <c r="DZ154" s="1708"/>
      <c r="EA154" s="1708"/>
      <c r="EB154" s="1708"/>
      <c r="EC154" s="1708"/>
      <c r="ED154" s="1708"/>
      <c r="EE154" s="1708"/>
      <c r="EF154" s="1708"/>
      <c r="EG154" s="1708"/>
      <c r="EH154" s="1708"/>
      <c r="EI154" s="1708"/>
      <c r="EJ154" s="1708"/>
      <c r="EK154" s="1708"/>
      <c r="EL154" s="1708"/>
      <c r="EM154" s="1708"/>
      <c r="EN154" s="1708"/>
      <c r="EO154" s="1708"/>
      <c r="EP154" s="1708"/>
      <c r="EQ154" s="1708"/>
      <c r="ER154" s="1708"/>
      <c r="ES154" s="1708"/>
      <c r="ET154" s="1708"/>
      <c r="EU154" s="1708"/>
      <c r="EV154" s="1708"/>
      <c r="EW154" s="1708"/>
      <c r="EX154" s="1708"/>
      <c r="EY154" s="1708"/>
      <c r="EZ154" s="1708"/>
      <c r="FA154" s="1708"/>
      <c r="FB154" s="1708"/>
      <c r="FC154" s="1708"/>
      <c r="FD154" s="1708"/>
      <c r="FE154" s="1708"/>
      <c r="FF154" s="1708"/>
      <c r="FG154" s="1708"/>
      <c r="FH154" s="1708"/>
      <c r="FI154" s="1708"/>
      <c r="FJ154" s="1708"/>
      <c r="FK154" s="1708"/>
      <c r="FL154" s="1708"/>
      <c r="FM154" s="1708"/>
      <c r="FN154" s="1708"/>
      <c r="FO154" s="1708"/>
      <c r="FP154" s="1708"/>
      <c r="FQ154" s="1708"/>
      <c r="FR154" s="1708"/>
      <c r="FS154" s="1708"/>
      <c r="FT154" s="1708"/>
      <c r="FU154" s="1708"/>
      <c r="FV154" s="1708"/>
      <c r="FW154" s="1708"/>
      <c r="FX154" s="1708"/>
      <c r="FY154" s="1708"/>
      <c r="FZ154" s="1708"/>
      <c r="GA154" s="1708"/>
      <c r="GB154" s="1708"/>
      <c r="GC154" s="1708"/>
      <c r="GD154" s="1708"/>
      <c r="GE154" s="1708"/>
      <c r="GF154" s="1708"/>
      <c r="GG154" s="1708"/>
      <c r="GH154" s="1708"/>
      <c r="GI154" s="1708"/>
      <c r="GJ154" s="1708"/>
      <c r="GK154" s="1708"/>
      <c r="GL154" s="1708"/>
      <c r="GM154" s="1708"/>
      <c r="GN154" s="1708"/>
      <c r="GO154" s="1708"/>
      <c r="GP154" s="1708"/>
      <c r="GQ154" s="1708"/>
      <c r="GR154" s="1708"/>
      <c r="GS154" s="1708"/>
      <c r="GT154" s="1708"/>
      <c r="GU154" s="1708"/>
      <c r="GV154" s="1708"/>
      <c r="GW154" s="1708"/>
      <c r="GX154" s="1708"/>
      <c r="GY154" s="1708"/>
      <c r="GZ154" s="1708"/>
      <c r="HA154" s="1708"/>
      <c r="HB154" s="1708"/>
      <c r="HC154" s="1708"/>
      <c r="HD154" s="1708"/>
      <c r="HE154" s="1708"/>
      <c r="HF154" s="1708"/>
      <c r="HG154" s="1708"/>
      <c r="HH154" s="1708"/>
      <c r="HI154" s="1708"/>
      <c r="HJ154" s="1708"/>
      <c r="HK154" s="1708"/>
      <c r="HL154" s="1708"/>
      <c r="HM154" s="1708"/>
      <c r="HN154" s="1708"/>
      <c r="HO154" s="1708"/>
      <c r="HP154" s="1708"/>
      <c r="HQ154" s="1708"/>
      <c r="HR154" s="1708"/>
      <c r="HS154" s="1708"/>
      <c r="HT154" s="1708"/>
      <c r="HU154" s="1708"/>
      <c r="HV154" s="1708"/>
      <c r="HW154" s="1708"/>
      <c r="HX154" s="1708"/>
      <c r="HY154" s="1708"/>
      <c r="HZ154" s="1708"/>
      <c r="IA154" s="1708"/>
      <c r="IB154" s="1708"/>
      <c r="IC154" s="1708"/>
      <c r="ID154" s="1708"/>
      <c r="IE154" s="1708"/>
      <c r="IF154" s="1708"/>
      <c r="IG154" s="1708"/>
      <c r="IH154" s="1708"/>
      <c r="II154" s="1708"/>
      <c r="IJ154" s="1708"/>
      <c r="IK154" s="1708"/>
      <c r="IL154" s="1708"/>
      <c r="IM154" s="1708"/>
      <c r="IN154" s="1708"/>
      <c r="IO154" s="1708"/>
      <c r="IP154" s="1708"/>
      <c r="IQ154" s="1708"/>
      <c r="IR154" s="1708"/>
      <c r="IS154" s="1708"/>
      <c r="IT154" s="1708"/>
      <c r="IU154" s="1708"/>
      <c r="IV154" s="1708"/>
    </row>
    <row r="155" spans="2:256" s="57" customFormat="1" x14ac:dyDescent="0.25">
      <c r="B155" s="1836"/>
      <c r="G155" s="1849"/>
      <c r="J155" s="1850"/>
      <c r="K155" s="1850"/>
      <c r="S155" s="1708"/>
      <c r="T155" s="1708"/>
      <c r="U155" s="1708"/>
      <c r="V155" s="1708"/>
      <c r="W155" s="1708"/>
      <c r="X155" s="1708"/>
      <c r="Y155" s="1708"/>
      <c r="Z155" s="1708"/>
      <c r="AA155" s="1708"/>
      <c r="AB155" s="1708"/>
      <c r="AC155" s="1708"/>
      <c r="AD155" s="1708"/>
      <c r="AE155" s="1708"/>
      <c r="AF155" s="1708"/>
      <c r="AG155" s="1708"/>
      <c r="AH155" s="1708"/>
      <c r="AI155" s="1708"/>
      <c r="AJ155" s="1708"/>
      <c r="AK155" s="1708"/>
      <c r="AL155" s="1708"/>
      <c r="AM155" s="1708"/>
      <c r="AN155" s="1708"/>
      <c r="AO155" s="1708"/>
      <c r="AP155" s="1708"/>
      <c r="AQ155" s="1708"/>
      <c r="AR155" s="1708"/>
      <c r="AS155" s="1708"/>
      <c r="AT155" s="1708"/>
      <c r="AU155" s="1708"/>
      <c r="AV155" s="1708"/>
      <c r="AW155" s="1708"/>
      <c r="AX155" s="1708"/>
      <c r="AY155" s="1708"/>
      <c r="AZ155" s="1708"/>
      <c r="BA155" s="1708"/>
      <c r="BB155" s="1708"/>
      <c r="BC155" s="1708"/>
      <c r="BD155" s="1708"/>
      <c r="BE155" s="1708"/>
      <c r="BF155" s="1708"/>
      <c r="BG155" s="1708"/>
      <c r="BH155" s="1708"/>
      <c r="BI155" s="1708"/>
      <c r="BJ155" s="1708"/>
      <c r="BK155" s="1708"/>
      <c r="BL155" s="1708"/>
      <c r="BM155" s="1708"/>
      <c r="BN155" s="1708"/>
      <c r="BO155" s="1708"/>
      <c r="BP155" s="1708"/>
      <c r="BQ155" s="1708"/>
      <c r="BR155" s="1708"/>
      <c r="BS155" s="1708"/>
      <c r="BT155" s="1708"/>
      <c r="BU155" s="1708"/>
      <c r="BV155" s="1708"/>
      <c r="BW155" s="1708"/>
      <c r="BX155" s="1708"/>
      <c r="BY155" s="1708"/>
      <c r="BZ155" s="1708"/>
      <c r="CA155" s="1708"/>
      <c r="CB155" s="1708"/>
      <c r="CC155" s="1708"/>
      <c r="CD155" s="1708"/>
      <c r="CE155" s="1708"/>
      <c r="CF155" s="1708"/>
      <c r="CG155" s="1708"/>
      <c r="CH155" s="1708"/>
      <c r="CI155" s="1708"/>
      <c r="CJ155" s="1708"/>
      <c r="CK155" s="1708"/>
      <c r="CL155" s="1708"/>
      <c r="CM155" s="1708"/>
      <c r="CN155" s="1708"/>
      <c r="CO155" s="1708"/>
      <c r="CP155" s="1708"/>
      <c r="CQ155" s="1708"/>
      <c r="CR155" s="1708"/>
      <c r="CS155" s="1708"/>
      <c r="CT155" s="1708"/>
      <c r="CU155" s="1708"/>
      <c r="CV155" s="1708"/>
      <c r="CW155" s="1708"/>
      <c r="CX155" s="1708"/>
      <c r="CY155" s="1708"/>
      <c r="CZ155" s="1708"/>
      <c r="DA155" s="1708"/>
      <c r="DB155" s="1708"/>
      <c r="DC155" s="1708"/>
      <c r="DD155" s="1708"/>
      <c r="DE155" s="1708"/>
      <c r="DF155" s="1708"/>
      <c r="DG155" s="1708"/>
      <c r="DH155" s="1708"/>
      <c r="DI155" s="1708"/>
      <c r="DJ155" s="1708"/>
      <c r="DK155" s="1708"/>
      <c r="DL155" s="1708"/>
      <c r="DM155" s="1708"/>
      <c r="DN155" s="1708"/>
      <c r="DO155" s="1708"/>
      <c r="DP155" s="1708"/>
      <c r="DQ155" s="1708"/>
      <c r="DR155" s="1708"/>
      <c r="DS155" s="1708"/>
      <c r="DT155" s="1708"/>
      <c r="DU155" s="1708"/>
      <c r="DV155" s="1708"/>
      <c r="DW155" s="1708"/>
      <c r="DX155" s="1708"/>
      <c r="DY155" s="1708"/>
      <c r="DZ155" s="1708"/>
      <c r="EA155" s="1708"/>
      <c r="EB155" s="1708"/>
      <c r="EC155" s="1708"/>
      <c r="ED155" s="1708"/>
      <c r="EE155" s="1708"/>
      <c r="EF155" s="1708"/>
      <c r="EG155" s="1708"/>
      <c r="EH155" s="1708"/>
      <c r="EI155" s="1708"/>
      <c r="EJ155" s="1708"/>
      <c r="EK155" s="1708"/>
      <c r="EL155" s="1708"/>
      <c r="EM155" s="1708"/>
      <c r="EN155" s="1708"/>
      <c r="EO155" s="1708"/>
      <c r="EP155" s="1708"/>
      <c r="EQ155" s="1708"/>
      <c r="ER155" s="1708"/>
      <c r="ES155" s="1708"/>
      <c r="ET155" s="1708"/>
      <c r="EU155" s="1708"/>
      <c r="EV155" s="1708"/>
      <c r="EW155" s="1708"/>
      <c r="EX155" s="1708"/>
      <c r="EY155" s="1708"/>
      <c r="EZ155" s="1708"/>
      <c r="FA155" s="1708"/>
      <c r="FB155" s="1708"/>
      <c r="FC155" s="1708"/>
      <c r="FD155" s="1708"/>
      <c r="FE155" s="1708"/>
      <c r="FF155" s="1708"/>
      <c r="FG155" s="1708"/>
      <c r="FH155" s="1708"/>
      <c r="FI155" s="1708"/>
      <c r="FJ155" s="1708"/>
      <c r="FK155" s="1708"/>
      <c r="FL155" s="1708"/>
      <c r="FM155" s="1708"/>
      <c r="FN155" s="1708"/>
      <c r="FO155" s="1708"/>
      <c r="FP155" s="1708"/>
      <c r="FQ155" s="1708"/>
      <c r="FR155" s="1708"/>
      <c r="FS155" s="1708"/>
      <c r="FT155" s="1708"/>
      <c r="FU155" s="1708"/>
      <c r="FV155" s="1708"/>
      <c r="FW155" s="1708"/>
      <c r="FX155" s="1708"/>
      <c r="FY155" s="1708"/>
      <c r="FZ155" s="1708"/>
      <c r="GA155" s="1708"/>
      <c r="GB155" s="1708"/>
      <c r="GC155" s="1708"/>
      <c r="GD155" s="1708"/>
      <c r="GE155" s="1708"/>
      <c r="GF155" s="1708"/>
      <c r="GG155" s="1708"/>
      <c r="GH155" s="1708"/>
      <c r="GI155" s="1708"/>
      <c r="GJ155" s="1708"/>
      <c r="GK155" s="1708"/>
      <c r="GL155" s="1708"/>
      <c r="GM155" s="1708"/>
      <c r="GN155" s="1708"/>
      <c r="GO155" s="1708"/>
      <c r="GP155" s="1708"/>
      <c r="GQ155" s="1708"/>
      <c r="GR155" s="1708"/>
      <c r="GS155" s="1708"/>
      <c r="GT155" s="1708"/>
      <c r="GU155" s="1708"/>
      <c r="GV155" s="1708"/>
      <c r="GW155" s="1708"/>
      <c r="GX155" s="1708"/>
      <c r="GY155" s="1708"/>
      <c r="GZ155" s="1708"/>
      <c r="HA155" s="1708"/>
      <c r="HB155" s="1708"/>
      <c r="HC155" s="1708"/>
      <c r="HD155" s="1708"/>
      <c r="HE155" s="1708"/>
      <c r="HF155" s="1708"/>
      <c r="HG155" s="1708"/>
      <c r="HH155" s="1708"/>
      <c r="HI155" s="1708"/>
      <c r="HJ155" s="1708"/>
      <c r="HK155" s="1708"/>
      <c r="HL155" s="1708"/>
      <c r="HM155" s="1708"/>
      <c r="HN155" s="1708"/>
      <c r="HO155" s="1708"/>
      <c r="HP155" s="1708"/>
      <c r="HQ155" s="1708"/>
      <c r="HR155" s="1708"/>
      <c r="HS155" s="1708"/>
      <c r="HT155" s="1708"/>
      <c r="HU155" s="1708"/>
      <c r="HV155" s="1708"/>
      <c r="HW155" s="1708"/>
      <c r="HX155" s="1708"/>
      <c r="HY155" s="1708"/>
      <c r="HZ155" s="1708"/>
      <c r="IA155" s="1708"/>
      <c r="IB155" s="1708"/>
      <c r="IC155" s="1708"/>
      <c r="ID155" s="1708"/>
      <c r="IE155" s="1708"/>
      <c r="IF155" s="1708"/>
      <c r="IG155" s="1708"/>
      <c r="IH155" s="1708"/>
      <c r="II155" s="1708"/>
      <c r="IJ155" s="1708"/>
      <c r="IK155" s="1708"/>
      <c r="IL155" s="1708"/>
      <c r="IM155" s="1708"/>
      <c r="IN155" s="1708"/>
      <c r="IO155" s="1708"/>
      <c r="IP155" s="1708"/>
      <c r="IQ155" s="1708"/>
      <c r="IR155" s="1708"/>
      <c r="IS155" s="1708"/>
      <c r="IT155" s="1708"/>
      <c r="IU155" s="1708"/>
      <c r="IV155" s="1708"/>
    </row>
    <row r="156" spans="2:256" s="57" customFormat="1" x14ac:dyDescent="0.25">
      <c r="B156" s="1836"/>
      <c r="G156" s="1849"/>
      <c r="J156" s="1850"/>
      <c r="K156" s="1850"/>
      <c r="S156" s="1708"/>
      <c r="T156" s="1708"/>
      <c r="U156" s="1708"/>
      <c r="V156" s="1708"/>
      <c r="W156" s="1708"/>
      <c r="X156" s="1708"/>
      <c r="Y156" s="1708"/>
      <c r="Z156" s="1708"/>
      <c r="AA156" s="1708"/>
      <c r="AB156" s="1708"/>
      <c r="AC156" s="1708"/>
      <c r="AD156" s="1708"/>
      <c r="AE156" s="1708"/>
      <c r="AF156" s="1708"/>
      <c r="AG156" s="1708"/>
      <c r="AH156" s="1708"/>
      <c r="AI156" s="1708"/>
      <c r="AJ156" s="1708"/>
      <c r="AK156" s="1708"/>
      <c r="AL156" s="1708"/>
      <c r="AM156" s="1708"/>
      <c r="AN156" s="1708"/>
      <c r="AO156" s="1708"/>
      <c r="AP156" s="1708"/>
      <c r="AQ156" s="1708"/>
      <c r="AR156" s="1708"/>
      <c r="AS156" s="1708"/>
      <c r="AT156" s="1708"/>
      <c r="AU156" s="1708"/>
      <c r="AV156" s="1708"/>
      <c r="AW156" s="1708"/>
      <c r="AX156" s="1708"/>
      <c r="AY156" s="1708"/>
      <c r="AZ156" s="1708"/>
      <c r="BA156" s="1708"/>
      <c r="BB156" s="1708"/>
      <c r="BC156" s="1708"/>
      <c r="BD156" s="1708"/>
      <c r="BE156" s="1708"/>
      <c r="BF156" s="1708"/>
      <c r="BG156" s="1708"/>
      <c r="BH156" s="1708"/>
      <c r="BI156" s="1708"/>
      <c r="BJ156" s="1708"/>
      <c r="BK156" s="1708"/>
      <c r="BL156" s="1708"/>
      <c r="BM156" s="1708"/>
      <c r="BN156" s="1708"/>
      <c r="BO156" s="1708"/>
      <c r="BP156" s="1708"/>
      <c r="BQ156" s="1708"/>
      <c r="BR156" s="1708"/>
      <c r="BS156" s="1708"/>
      <c r="BT156" s="1708"/>
      <c r="BU156" s="1708"/>
      <c r="BV156" s="1708"/>
      <c r="BW156" s="1708"/>
      <c r="BX156" s="1708"/>
      <c r="BY156" s="1708"/>
      <c r="BZ156" s="1708"/>
      <c r="CA156" s="1708"/>
      <c r="CB156" s="1708"/>
      <c r="CC156" s="1708"/>
      <c r="CD156" s="1708"/>
      <c r="CE156" s="1708"/>
      <c r="CF156" s="1708"/>
      <c r="CG156" s="1708"/>
      <c r="CH156" s="1708"/>
      <c r="CI156" s="1708"/>
      <c r="CJ156" s="1708"/>
      <c r="CK156" s="1708"/>
      <c r="CL156" s="1708"/>
      <c r="CM156" s="1708"/>
      <c r="CN156" s="1708"/>
      <c r="CO156" s="1708"/>
      <c r="CP156" s="1708"/>
      <c r="CQ156" s="1708"/>
      <c r="CR156" s="1708"/>
      <c r="CS156" s="1708"/>
      <c r="CT156" s="1708"/>
      <c r="CU156" s="1708"/>
      <c r="CV156" s="1708"/>
      <c r="CW156" s="1708"/>
      <c r="CX156" s="1708"/>
      <c r="CY156" s="1708"/>
      <c r="CZ156" s="1708"/>
      <c r="DA156" s="1708"/>
      <c r="DB156" s="1708"/>
      <c r="DC156" s="1708"/>
      <c r="DD156" s="1708"/>
      <c r="DE156" s="1708"/>
      <c r="DF156" s="1708"/>
      <c r="DG156" s="1708"/>
      <c r="DH156" s="1708"/>
      <c r="DI156" s="1708"/>
      <c r="DJ156" s="1708"/>
      <c r="DK156" s="1708"/>
      <c r="DL156" s="1708"/>
      <c r="DM156" s="1708"/>
      <c r="DN156" s="1708"/>
      <c r="DO156" s="1708"/>
      <c r="DP156" s="1708"/>
      <c r="DQ156" s="1708"/>
      <c r="DR156" s="1708"/>
      <c r="DS156" s="1708"/>
      <c r="DT156" s="1708"/>
      <c r="DU156" s="1708"/>
      <c r="DV156" s="1708"/>
      <c r="DW156" s="1708"/>
      <c r="DX156" s="1708"/>
      <c r="DY156" s="1708"/>
      <c r="DZ156" s="1708"/>
      <c r="EA156" s="1708"/>
      <c r="EB156" s="1708"/>
      <c r="EC156" s="1708"/>
      <c r="ED156" s="1708"/>
      <c r="EE156" s="1708"/>
      <c r="EF156" s="1708"/>
      <c r="EG156" s="1708"/>
      <c r="EH156" s="1708"/>
      <c r="EI156" s="1708"/>
      <c r="EJ156" s="1708"/>
      <c r="EK156" s="1708"/>
      <c r="EL156" s="1708"/>
      <c r="EM156" s="1708"/>
      <c r="EN156" s="1708"/>
      <c r="EO156" s="1708"/>
      <c r="EP156" s="1708"/>
      <c r="EQ156" s="1708"/>
      <c r="ER156" s="1708"/>
      <c r="ES156" s="1708"/>
      <c r="ET156" s="1708"/>
      <c r="EU156" s="1708"/>
      <c r="EV156" s="1708"/>
      <c r="EW156" s="1708"/>
      <c r="EX156" s="1708"/>
      <c r="EY156" s="1708"/>
      <c r="EZ156" s="1708"/>
      <c r="FA156" s="1708"/>
      <c r="FB156" s="1708"/>
      <c r="FC156" s="1708"/>
      <c r="FD156" s="1708"/>
      <c r="FE156" s="1708"/>
      <c r="FF156" s="1708"/>
      <c r="FG156" s="1708"/>
      <c r="FH156" s="1708"/>
      <c r="FI156" s="1708"/>
      <c r="FJ156" s="1708"/>
      <c r="FK156" s="1708"/>
      <c r="FL156" s="1708"/>
      <c r="FM156" s="1708"/>
      <c r="FN156" s="1708"/>
      <c r="FO156" s="1708"/>
      <c r="FP156" s="1708"/>
      <c r="FQ156" s="1708"/>
      <c r="FR156" s="1708"/>
      <c r="FS156" s="1708"/>
      <c r="FT156" s="1708"/>
      <c r="FU156" s="1708"/>
      <c r="FV156" s="1708"/>
      <c r="FW156" s="1708"/>
      <c r="FX156" s="1708"/>
      <c r="FY156" s="1708"/>
      <c r="FZ156" s="1708"/>
      <c r="GA156" s="1708"/>
      <c r="GB156" s="1708"/>
      <c r="GC156" s="1708"/>
      <c r="GD156" s="1708"/>
      <c r="GE156" s="1708"/>
      <c r="GF156" s="1708"/>
      <c r="GG156" s="1708"/>
      <c r="GH156" s="1708"/>
      <c r="GI156" s="1708"/>
      <c r="GJ156" s="1708"/>
      <c r="GK156" s="1708"/>
      <c r="GL156" s="1708"/>
      <c r="GM156" s="1708"/>
      <c r="GN156" s="1708"/>
      <c r="GO156" s="1708"/>
      <c r="GP156" s="1708"/>
      <c r="GQ156" s="1708"/>
      <c r="GR156" s="1708"/>
      <c r="GS156" s="1708"/>
      <c r="GT156" s="1708"/>
      <c r="GU156" s="1708"/>
      <c r="GV156" s="1708"/>
      <c r="GW156" s="1708"/>
      <c r="GX156" s="1708"/>
      <c r="GY156" s="1708"/>
      <c r="GZ156" s="1708"/>
      <c r="HA156" s="1708"/>
      <c r="HB156" s="1708"/>
      <c r="HC156" s="1708"/>
      <c r="HD156" s="1708"/>
      <c r="HE156" s="1708"/>
      <c r="HF156" s="1708"/>
      <c r="HG156" s="1708"/>
      <c r="HH156" s="1708"/>
      <c r="HI156" s="1708"/>
      <c r="HJ156" s="1708"/>
      <c r="HK156" s="1708"/>
      <c r="HL156" s="1708"/>
      <c r="HM156" s="1708"/>
      <c r="HN156" s="1708"/>
      <c r="HO156" s="1708"/>
      <c r="HP156" s="1708"/>
      <c r="HQ156" s="1708"/>
      <c r="HR156" s="1708"/>
      <c r="HS156" s="1708"/>
      <c r="HT156" s="1708"/>
      <c r="HU156" s="1708"/>
      <c r="HV156" s="1708"/>
      <c r="HW156" s="1708"/>
      <c r="HX156" s="1708"/>
      <c r="HY156" s="1708"/>
      <c r="HZ156" s="1708"/>
      <c r="IA156" s="1708"/>
      <c r="IB156" s="1708"/>
      <c r="IC156" s="1708"/>
      <c r="ID156" s="1708"/>
      <c r="IE156" s="1708"/>
      <c r="IF156" s="1708"/>
      <c r="IG156" s="1708"/>
      <c r="IH156" s="1708"/>
      <c r="II156" s="1708"/>
      <c r="IJ156" s="1708"/>
      <c r="IK156" s="1708"/>
      <c r="IL156" s="1708"/>
      <c r="IM156" s="1708"/>
      <c r="IN156" s="1708"/>
      <c r="IO156" s="1708"/>
      <c r="IP156" s="1708"/>
      <c r="IQ156" s="1708"/>
      <c r="IR156" s="1708"/>
      <c r="IS156" s="1708"/>
      <c r="IT156" s="1708"/>
      <c r="IU156" s="1708"/>
      <c r="IV156" s="1708"/>
    </row>
    <row r="157" spans="2:256" s="57" customFormat="1" x14ac:dyDescent="0.25">
      <c r="B157" s="1836"/>
      <c r="G157" s="1849"/>
      <c r="J157" s="1850"/>
      <c r="K157" s="1850"/>
      <c r="S157" s="1708"/>
      <c r="T157" s="1708"/>
      <c r="U157" s="1708"/>
      <c r="V157" s="1708"/>
      <c r="W157" s="1708"/>
      <c r="X157" s="1708"/>
      <c r="Y157" s="1708"/>
      <c r="Z157" s="1708"/>
      <c r="AA157" s="1708"/>
      <c r="AB157" s="1708"/>
      <c r="AC157" s="1708"/>
      <c r="AD157" s="1708"/>
      <c r="AE157" s="1708"/>
      <c r="AF157" s="1708"/>
      <c r="AG157" s="1708"/>
      <c r="AH157" s="1708"/>
      <c r="AI157" s="1708"/>
      <c r="AJ157" s="1708"/>
      <c r="AK157" s="1708"/>
      <c r="AL157" s="1708"/>
      <c r="AM157" s="1708"/>
      <c r="AN157" s="1708"/>
      <c r="AO157" s="1708"/>
      <c r="AP157" s="1708"/>
      <c r="AQ157" s="1708"/>
      <c r="AR157" s="1708"/>
      <c r="AS157" s="1708"/>
      <c r="AT157" s="1708"/>
      <c r="AU157" s="1708"/>
      <c r="AV157" s="1708"/>
      <c r="AW157" s="1708"/>
      <c r="AX157" s="1708"/>
      <c r="AY157" s="1708"/>
      <c r="AZ157" s="1708"/>
      <c r="BA157" s="1708"/>
      <c r="BB157" s="1708"/>
      <c r="BC157" s="1708"/>
      <c r="BD157" s="1708"/>
      <c r="BE157" s="1708"/>
      <c r="BF157" s="1708"/>
      <c r="BG157" s="1708"/>
      <c r="BH157" s="1708"/>
      <c r="BI157" s="1708"/>
      <c r="BJ157" s="1708"/>
      <c r="BK157" s="1708"/>
      <c r="BL157" s="1708"/>
      <c r="BM157" s="1708"/>
      <c r="BN157" s="1708"/>
      <c r="BO157" s="1708"/>
      <c r="BP157" s="1708"/>
      <c r="BQ157" s="1708"/>
      <c r="BR157" s="1708"/>
      <c r="BS157" s="1708"/>
      <c r="BT157" s="1708"/>
      <c r="BU157" s="1708"/>
      <c r="BV157" s="1708"/>
      <c r="BW157" s="1708"/>
      <c r="BX157" s="1708"/>
      <c r="BY157" s="1708"/>
      <c r="BZ157" s="1708"/>
      <c r="CA157" s="1708"/>
      <c r="CB157" s="1708"/>
      <c r="CC157" s="1708"/>
      <c r="CD157" s="1708"/>
      <c r="CE157" s="1708"/>
      <c r="CF157" s="1708"/>
      <c r="CG157" s="1708"/>
      <c r="CH157" s="1708"/>
      <c r="CI157" s="1708"/>
      <c r="CJ157" s="1708"/>
      <c r="CK157" s="1708"/>
      <c r="CL157" s="1708"/>
      <c r="CM157" s="1708"/>
      <c r="CN157" s="1708"/>
      <c r="CO157" s="1708"/>
      <c r="CP157" s="1708"/>
      <c r="CQ157" s="1708"/>
      <c r="CR157" s="1708"/>
      <c r="CS157" s="1708"/>
      <c r="CT157" s="1708"/>
      <c r="CU157" s="1708"/>
      <c r="CV157" s="1708"/>
      <c r="CW157" s="1708"/>
      <c r="CX157" s="1708"/>
      <c r="CY157" s="1708"/>
      <c r="CZ157" s="1708"/>
      <c r="DA157" s="1708"/>
      <c r="DB157" s="1708"/>
      <c r="DC157" s="1708"/>
      <c r="DD157" s="1708"/>
      <c r="DE157" s="1708"/>
      <c r="DF157" s="1708"/>
      <c r="DG157" s="1708"/>
      <c r="DH157" s="1708"/>
      <c r="DI157" s="1708"/>
      <c r="DJ157" s="1708"/>
      <c r="DK157" s="1708"/>
      <c r="DL157" s="1708"/>
      <c r="DM157" s="1708"/>
      <c r="DN157" s="1708"/>
      <c r="DO157" s="1708"/>
      <c r="DP157" s="1708"/>
      <c r="DQ157" s="1708"/>
      <c r="DR157" s="1708"/>
      <c r="DS157" s="1708"/>
      <c r="DT157" s="1708"/>
      <c r="DU157" s="1708"/>
      <c r="DV157" s="1708"/>
      <c r="DW157" s="1708"/>
      <c r="DX157" s="1708"/>
      <c r="DY157" s="1708"/>
      <c r="DZ157" s="1708"/>
      <c r="EA157" s="1708"/>
      <c r="EB157" s="1708"/>
      <c r="EC157" s="1708"/>
      <c r="ED157" s="1708"/>
      <c r="EE157" s="1708"/>
      <c r="EF157" s="1708"/>
      <c r="EG157" s="1708"/>
      <c r="EH157" s="1708"/>
      <c r="EI157" s="1708"/>
      <c r="EJ157" s="1708"/>
      <c r="EK157" s="1708"/>
      <c r="EL157" s="1708"/>
      <c r="EM157" s="1708"/>
      <c r="EN157" s="1708"/>
      <c r="EO157" s="1708"/>
      <c r="EP157" s="1708"/>
      <c r="EQ157" s="1708"/>
      <c r="ER157" s="1708"/>
      <c r="ES157" s="1708"/>
      <c r="ET157" s="1708"/>
      <c r="EU157" s="1708"/>
      <c r="EV157" s="1708"/>
      <c r="EW157" s="1708"/>
      <c r="EX157" s="1708"/>
      <c r="EY157" s="1708"/>
      <c r="EZ157" s="1708"/>
      <c r="FA157" s="1708"/>
      <c r="FB157" s="1708"/>
      <c r="FC157" s="1708"/>
      <c r="FD157" s="1708"/>
      <c r="FE157" s="1708"/>
      <c r="FF157" s="1708"/>
      <c r="FG157" s="1708"/>
      <c r="FH157" s="1708"/>
      <c r="FI157" s="1708"/>
      <c r="FJ157" s="1708"/>
      <c r="FK157" s="1708"/>
      <c r="FL157" s="1708"/>
      <c r="FM157" s="1708"/>
      <c r="FN157" s="1708"/>
      <c r="FO157" s="1708"/>
      <c r="FP157" s="1708"/>
      <c r="FQ157" s="1708"/>
      <c r="FR157" s="1708"/>
      <c r="FS157" s="1708"/>
      <c r="FT157" s="1708"/>
      <c r="FU157" s="1708"/>
      <c r="FV157" s="1708"/>
      <c r="FW157" s="1708"/>
      <c r="FX157" s="1708"/>
      <c r="FY157" s="1708"/>
      <c r="FZ157" s="1708"/>
      <c r="GA157" s="1708"/>
      <c r="GB157" s="1708"/>
      <c r="GC157" s="1708"/>
      <c r="GD157" s="1708"/>
      <c r="GE157" s="1708"/>
      <c r="GF157" s="1708"/>
      <c r="GG157" s="1708"/>
      <c r="GH157" s="1708"/>
      <c r="GI157" s="1708"/>
      <c r="GJ157" s="1708"/>
      <c r="GK157" s="1708"/>
      <c r="GL157" s="1708"/>
      <c r="GM157" s="1708"/>
      <c r="GN157" s="1708"/>
      <c r="GO157" s="1708"/>
      <c r="GP157" s="1708"/>
      <c r="GQ157" s="1708"/>
      <c r="GR157" s="1708"/>
      <c r="GS157" s="1708"/>
      <c r="GT157" s="1708"/>
      <c r="GU157" s="1708"/>
      <c r="GV157" s="1708"/>
      <c r="GW157" s="1708"/>
      <c r="GX157" s="1708"/>
      <c r="GY157" s="1708"/>
      <c r="GZ157" s="1708"/>
      <c r="HA157" s="1708"/>
      <c r="HB157" s="1708"/>
      <c r="HC157" s="1708"/>
      <c r="HD157" s="1708"/>
      <c r="HE157" s="1708"/>
      <c r="HF157" s="1708"/>
      <c r="HG157" s="1708"/>
      <c r="HH157" s="1708"/>
      <c r="HI157" s="1708"/>
      <c r="HJ157" s="1708"/>
      <c r="HK157" s="1708"/>
      <c r="HL157" s="1708"/>
      <c r="HM157" s="1708"/>
      <c r="HN157" s="1708"/>
      <c r="HO157" s="1708"/>
      <c r="HP157" s="1708"/>
      <c r="HQ157" s="1708"/>
      <c r="HR157" s="1708"/>
      <c r="HS157" s="1708"/>
      <c r="HT157" s="1708"/>
      <c r="HU157" s="1708"/>
      <c r="HV157" s="1708"/>
      <c r="HW157" s="1708"/>
      <c r="HX157" s="1708"/>
      <c r="HY157" s="1708"/>
      <c r="HZ157" s="1708"/>
      <c r="IA157" s="1708"/>
      <c r="IB157" s="1708"/>
      <c r="IC157" s="1708"/>
      <c r="ID157" s="1708"/>
      <c r="IE157" s="1708"/>
      <c r="IF157" s="1708"/>
      <c r="IG157" s="1708"/>
      <c r="IH157" s="1708"/>
      <c r="II157" s="1708"/>
      <c r="IJ157" s="1708"/>
      <c r="IK157" s="1708"/>
      <c r="IL157" s="1708"/>
      <c r="IM157" s="1708"/>
      <c r="IN157" s="1708"/>
      <c r="IO157" s="1708"/>
      <c r="IP157" s="1708"/>
      <c r="IQ157" s="1708"/>
      <c r="IR157" s="1708"/>
      <c r="IS157" s="1708"/>
      <c r="IT157" s="1708"/>
      <c r="IU157" s="1708"/>
      <c r="IV157" s="1708"/>
    </row>
    <row r="158" spans="2:256" s="57" customFormat="1" x14ac:dyDescent="0.25">
      <c r="B158" s="1836"/>
      <c r="G158" s="1849"/>
      <c r="J158" s="1850"/>
      <c r="K158" s="1850"/>
      <c r="S158" s="1708"/>
      <c r="T158" s="1708"/>
      <c r="U158" s="1708"/>
      <c r="V158" s="1708"/>
      <c r="W158" s="1708"/>
      <c r="X158" s="1708"/>
      <c r="Y158" s="1708"/>
      <c r="Z158" s="1708"/>
      <c r="AA158" s="1708"/>
      <c r="AB158" s="1708"/>
      <c r="AC158" s="1708"/>
      <c r="AD158" s="1708"/>
      <c r="AE158" s="1708"/>
      <c r="AF158" s="1708"/>
      <c r="AG158" s="1708"/>
      <c r="AH158" s="1708"/>
      <c r="AI158" s="1708"/>
      <c r="AJ158" s="1708"/>
      <c r="AK158" s="1708"/>
      <c r="AL158" s="1708"/>
      <c r="AM158" s="1708"/>
      <c r="AN158" s="1708"/>
      <c r="AO158" s="1708"/>
      <c r="AP158" s="1708"/>
      <c r="AQ158" s="1708"/>
      <c r="AR158" s="1708"/>
      <c r="AS158" s="1708"/>
      <c r="AT158" s="1708"/>
      <c r="AU158" s="1708"/>
      <c r="AV158" s="1708"/>
      <c r="AW158" s="1708"/>
      <c r="AX158" s="1708"/>
      <c r="AY158" s="1708"/>
      <c r="AZ158" s="1708"/>
      <c r="BA158" s="1708"/>
      <c r="BB158" s="1708"/>
      <c r="BC158" s="1708"/>
      <c r="BD158" s="1708"/>
      <c r="BE158" s="1708"/>
      <c r="BF158" s="1708"/>
      <c r="BG158" s="1708"/>
      <c r="BH158" s="1708"/>
      <c r="BI158" s="1708"/>
      <c r="BJ158" s="1708"/>
      <c r="BK158" s="1708"/>
      <c r="BL158" s="1708"/>
      <c r="BM158" s="1708"/>
      <c r="BN158" s="1708"/>
      <c r="BO158" s="1708"/>
      <c r="BP158" s="1708"/>
      <c r="BQ158" s="1708"/>
      <c r="BR158" s="1708"/>
      <c r="BS158" s="1708"/>
      <c r="BT158" s="1708"/>
      <c r="BU158" s="1708"/>
      <c r="BV158" s="1708"/>
      <c r="BW158" s="1708"/>
      <c r="BX158" s="1708"/>
      <c r="BY158" s="1708"/>
      <c r="BZ158" s="1708"/>
      <c r="CA158" s="1708"/>
      <c r="CB158" s="1708"/>
      <c r="CC158" s="1708"/>
      <c r="CD158" s="1708"/>
      <c r="CE158" s="1708"/>
      <c r="CF158" s="1708"/>
      <c r="CG158" s="1708"/>
      <c r="CH158" s="1708"/>
      <c r="CI158" s="1708"/>
      <c r="CJ158" s="1708"/>
      <c r="CK158" s="1708"/>
      <c r="CL158" s="1708"/>
      <c r="CM158" s="1708"/>
      <c r="CN158" s="1708"/>
      <c r="CO158" s="1708"/>
      <c r="CP158" s="1708"/>
      <c r="CQ158" s="1708"/>
      <c r="CR158" s="1708"/>
      <c r="CS158" s="1708"/>
      <c r="CT158" s="1708"/>
      <c r="CU158" s="1708"/>
      <c r="CV158" s="1708"/>
      <c r="CW158" s="1708"/>
      <c r="CX158" s="1708"/>
      <c r="CY158" s="1708"/>
      <c r="CZ158" s="1708"/>
      <c r="DA158" s="1708"/>
      <c r="DB158" s="1708"/>
      <c r="DC158" s="1708"/>
      <c r="DD158" s="1708"/>
      <c r="DE158" s="1708"/>
      <c r="DF158" s="1708"/>
      <c r="DG158" s="1708"/>
      <c r="DH158" s="1708"/>
      <c r="DI158" s="1708"/>
      <c r="DJ158" s="1708"/>
      <c r="DK158" s="1708"/>
      <c r="DL158" s="1708"/>
      <c r="DM158" s="1708"/>
      <c r="DN158" s="1708"/>
      <c r="DO158" s="1708"/>
      <c r="DP158" s="1708"/>
      <c r="DQ158" s="1708"/>
      <c r="DR158" s="1708"/>
      <c r="DS158" s="1708"/>
      <c r="DT158" s="1708"/>
      <c r="DU158" s="1708"/>
      <c r="DV158" s="1708"/>
      <c r="DW158" s="1708"/>
      <c r="DX158" s="1708"/>
      <c r="DY158" s="1708"/>
      <c r="DZ158" s="1708"/>
      <c r="EA158" s="1708"/>
      <c r="EB158" s="1708"/>
      <c r="EC158" s="1708"/>
      <c r="ED158" s="1708"/>
      <c r="EE158" s="1708"/>
      <c r="EF158" s="1708"/>
      <c r="EG158" s="1708"/>
      <c r="EH158" s="1708"/>
      <c r="EI158" s="1708"/>
      <c r="EJ158" s="1708"/>
      <c r="EK158" s="1708"/>
      <c r="EL158" s="1708"/>
      <c r="EM158" s="1708"/>
      <c r="EN158" s="1708"/>
      <c r="EO158" s="1708"/>
      <c r="EP158" s="1708"/>
      <c r="EQ158" s="1708"/>
      <c r="ER158" s="1708"/>
      <c r="ES158" s="1708"/>
      <c r="ET158" s="1708"/>
      <c r="EU158" s="1708"/>
      <c r="EV158" s="1708"/>
      <c r="EW158" s="1708"/>
      <c r="EX158" s="1708"/>
      <c r="EY158" s="1708"/>
      <c r="EZ158" s="1708"/>
      <c r="FA158" s="1708"/>
      <c r="FB158" s="1708"/>
      <c r="FC158" s="1708"/>
      <c r="FD158" s="1708"/>
      <c r="FE158" s="1708"/>
      <c r="FF158" s="1708"/>
      <c r="FG158" s="1708"/>
      <c r="FH158" s="1708"/>
      <c r="FI158" s="1708"/>
      <c r="FJ158" s="1708"/>
      <c r="FK158" s="1708"/>
      <c r="FL158" s="1708"/>
      <c r="FM158" s="1708"/>
      <c r="FN158" s="1708"/>
      <c r="FO158" s="1708"/>
      <c r="FP158" s="1708"/>
      <c r="FQ158" s="1708"/>
      <c r="FR158" s="1708"/>
      <c r="FS158" s="1708"/>
      <c r="FT158" s="1708"/>
      <c r="FU158" s="1708"/>
      <c r="FV158" s="1708"/>
      <c r="FW158" s="1708"/>
      <c r="FX158" s="1708"/>
      <c r="FY158" s="1708"/>
      <c r="FZ158" s="1708"/>
      <c r="GA158" s="1708"/>
      <c r="GB158" s="1708"/>
      <c r="GC158" s="1708"/>
      <c r="GD158" s="1708"/>
      <c r="GE158" s="1708"/>
      <c r="GF158" s="1708"/>
      <c r="GG158" s="1708"/>
      <c r="GH158" s="1708"/>
      <c r="GI158" s="1708"/>
      <c r="GJ158" s="1708"/>
      <c r="GK158" s="1708"/>
      <c r="GL158" s="1708"/>
      <c r="GM158" s="1708"/>
      <c r="GN158" s="1708"/>
      <c r="GO158" s="1708"/>
      <c r="GP158" s="1708"/>
      <c r="GQ158" s="1708"/>
      <c r="GR158" s="1708"/>
      <c r="GS158" s="1708"/>
      <c r="GT158" s="1708"/>
      <c r="GU158" s="1708"/>
      <c r="GV158" s="1708"/>
      <c r="GW158" s="1708"/>
      <c r="GX158" s="1708"/>
      <c r="GY158" s="1708"/>
      <c r="GZ158" s="1708"/>
      <c r="HA158" s="1708"/>
      <c r="HB158" s="1708"/>
      <c r="HC158" s="1708"/>
      <c r="HD158" s="1708"/>
      <c r="HE158" s="1708"/>
      <c r="HF158" s="1708"/>
      <c r="HG158" s="1708"/>
      <c r="HH158" s="1708"/>
      <c r="HI158" s="1708"/>
      <c r="HJ158" s="1708"/>
      <c r="HK158" s="1708"/>
      <c r="HL158" s="1708"/>
      <c r="HM158" s="1708"/>
      <c r="HN158" s="1708"/>
      <c r="HO158" s="1708"/>
      <c r="HP158" s="1708"/>
      <c r="HQ158" s="1708"/>
      <c r="HR158" s="1708"/>
      <c r="HS158" s="1708"/>
      <c r="HT158" s="1708"/>
      <c r="HU158" s="1708"/>
      <c r="HV158" s="1708"/>
      <c r="HW158" s="1708"/>
      <c r="HX158" s="1708"/>
      <c r="HY158" s="1708"/>
      <c r="HZ158" s="1708"/>
      <c r="IA158" s="1708"/>
      <c r="IB158" s="1708"/>
      <c r="IC158" s="1708"/>
      <c r="ID158" s="1708"/>
      <c r="IE158" s="1708"/>
      <c r="IF158" s="1708"/>
      <c r="IG158" s="1708"/>
      <c r="IH158" s="1708"/>
      <c r="II158" s="1708"/>
      <c r="IJ158" s="1708"/>
      <c r="IK158" s="1708"/>
      <c r="IL158" s="1708"/>
      <c r="IM158" s="1708"/>
      <c r="IN158" s="1708"/>
      <c r="IO158" s="1708"/>
      <c r="IP158" s="1708"/>
      <c r="IQ158" s="1708"/>
      <c r="IR158" s="1708"/>
      <c r="IS158" s="1708"/>
      <c r="IT158" s="1708"/>
      <c r="IU158" s="1708"/>
      <c r="IV158" s="1708"/>
    </row>
    <row r="159" spans="2:256" s="57" customFormat="1" x14ac:dyDescent="0.25">
      <c r="B159" s="1836"/>
      <c r="G159" s="1849"/>
      <c r="J159" s="1850"/>
      <c r="K159" s="1850"/>
      <c r="S159" s="1708"/>
      <c r="T159" s="1708"/>
      <c r="U159" s="1708"/>
      <c r="V159" s="1708"/>
      <c r="W159" s="1708"/>
      <c r="X159" s="1708"/>
      <c r="Y159" s="1708"/>
      <c r="Z159" s="1708"/>
      <c r="AA159" s="1708"/>
      <c r="AB159" s="1708"/>
      <c r="AC159" s="1708"/>
      <c r="AD159" s="1708"/>
      <c r="AE159" s="1708"/>
      <c r="AF159" s="1708"/>
      <c r="AG159" s="1708"/>
      <c r="AH159" s="1708"/>
      <c r="AI159" s="1708"/>
      <c r="AJ159" s="1708"/>
      <c r="AK159" s="1708"/>
      <c r="AL159" s="1708"/>
      <c r="AM159" s="1708"/>
      <c r="AN159" s="1708"/>
      <c r="AO159" s="1708"/>
      <c r="AP159" s="1708"/>
      <c r="AQ159" s="1708"/>
      <c r="AR159" s="1708"/>
      <c r="AS159" s="1708"/>
      <c r="AT159" s="1708"/>
      <c r="AU159" s="1708"/>
      <c r="AV159" s="1708"/>
      <c r="AW159" s="1708"/>
      <c r="AX159" s="1708"/>
      <c r="AY159" s="1708"/>
      <c r="AZ159" s="1708"/>
      <c r="BA159" s="1708"/>
      <c r="BB159" s="1708"/>
      <c r="BC159" s="1708"/>
      <c r="BD159" s="1708"/>
      <c r="BE159" s="1708"/>
      <c r="BF159" s="1708"/>
      <c r="BG159" s="1708"/>
      <c r="BH159" s="1708"/>
      <c r="BI159" s="1708"/>
      <c r="BJ159" s="1708"/>
      <c r="BK159" s="1708"/>
      <c r="BL159" s="1708"/>
      <c r="BM159" s="1708"/>
      <c r="BN159" s="1708"/>
      <c r="BO159" s="1708"/>
      <c r="BP159" s="1708"/>
      <c r="BQ159" s="1708"/>
      <c r="BR159" s="1708"/>
      <c r="BS159" s="1708"/>
      <c r="BT159" s="1708"/>
      <c r="BU159" s="1708"/>
      <c r="BV159" s="1708"/>
      <c r="BW159" s="1708"/>
      <c r="BX159" s="1708"/>
      <c r="BY159" s="1708"/>
      <c r="BZ159" s="1708"/>
      <c r="CA159" s="1708"/>
      <c r="CB159" s="1708"/>
      <c r="CC159" s="1708"/>
      <c r="CD159" s="1708"/>
      <c r="CE159" s="1708"/>
      <c r="CF159" s="1708"/>
      <c r="CG159" s="1708"/>
      <c r="CH159" s="1708"/>
      <c r="CI159" s="1708"/>
      <c r="CJ159" s="1708"/>
      <c r="CK159" s="1708"/>
      <c r="CL159" s="1708"/>
      <c r="CM159" s="1708"/>
      <c r="CN159" s="1708"/>
      <c r="CO159" s="1708"/>
      <c r="CP159" s="1708"/>
      <c r="CQ159" s="1708"/>
      <c r="CR159" s="1708"/>
      <c r="CS159" s="1708"/>
      <c r="CT159" s="1708"/>
      <c r="CU159" s="1708"/>
      <c r="CV159" s="1708"/>
      <c r="CW159" s="1708"/>
      <c r="CX159" s="1708"/>
      <c r="CY159" s="1708"/>
      <c r="CZ159" s="1708"/>
      <c r="DA159" s="1708"/>
      <c r="DB159" s="1708"/>
      <c r="DC159" s="1708"/>
      <c r="DD159" s="1708"/>
      <c r="DE159" s="1708"/>
      <c r="DF159" s="1708"/>
      <c r="DG159" s="1708"/>
      <c r="DH159" s="1708"/>
      <c r="DI159" s="1708"/>
      <c r="DJ159" s="1708"/>
      <c r="DK159" s="1708"/>
      <c r="DL159" s="1708"/>
      <c r="DM159" s="1708"/>
      <c r="DN159" s="1708"/>
      <c r="DO159" s="1708"/>
      <c r="DP159" s="1708"/>
      <c r="DQ159" s="1708"/>
      <c r="DR159" s="1708"/>
      <c r="DS159" s="1708"/>
      <c r="DT159" s="1708"/>
      <c r="DU159" s="1708"/>
      <c r="DV159" s="1708"/>
      <c r="DW159" s="1708"/>
      <c r="DX159" s="1708"/>
      <c r="DY159" s="1708"/>
      <c r="DZ159" s="1708"/>
      <c r="EA159" s="1708"/>
      <c r="EB159" s="1708"/>
      <c r="EC159" s="1708"/>
      <c r="ED159" s="1708"/>
      <c r="EE159" s="1708"/>
      <c r="EF159" s="1708"/>
      <c r="EG159" s="1708"/>
      <c r="EH159" s="1708"/>
      <c r="EI159" s="1708"/>
      <c r="EJ159" s="1708"/>
      <c r="EK159" s="1708"/>
      <c r="EL159" s="1708"/>
      <c r="EM159" s="1708"/>
      <c r="EN159" s="1708"/>
      <c r="EO159" s="1708"/>
      <c r="EP159" s="1708"/>
      <c r="EQ159" s="1708"/>
      <c r="ER159" s="1708"/>
      <c r="ES159" s="1708"/>
      <c r="ET159" s="1708"/>
      <c r="EU159" s="1708"/>
      <c r="EV159" s="1708"/>
      <c r="EW159" s="1708"/>
      <c r="EX159" s="1708"/>
      <c r="EY159" s="1708"/>
      <c r="EZ159" s="1708"/>
      <c r="FA159" s="1708"/>
      <c r="FB159" s="1708"/>
      <c r="FC159" s="1708"/>
      <c r="FD159" s="1708"/>
      <c r="FE159" s="1708"/>
      <c r="FF159" s="1708"/>
      <c r="FG159" s="1708"/>
      <c r="FH159" s="1708"/>
      <c r="FI159" s="1708"/>
      <c r="FJ159" s="1708"/>
      <c r="FK159" s="1708"/>
      <c r="FL159" s="1708"/>
      <c r="FM159" s="1708"/>
      <c r="FN159" s="1708"/>
      <c r="FO159" s="1708"/>
      <c r="FP159" s="1708"/>
      <c r="FQ159" s="1708"/>
      <c r="FR159" s="1708"/>
      <c r="FS159" s="1708"/>
      <c r="FT159" s="1708"/>
      <c r="FU159" s="1708"/>
      <c r="FV159" s="1708"/>
      <c r="FW159" s="1708"/>
      <c r="FX159" s="1708"/>
      <c r="FY159" s="1708"/>
      <c r="FZ159" s="1708"/>
      <c r="GA159" s="1708"/>
      <c r="GB159" s="1708"/>
      <c r="GC159" s="1708"/>
      <c r="GD159" s="1708"/>
      <c r="GE159" s="1708"/>
      <c r="GF159" s="1708"/>
      <c r="GG159" s="1708"/>
      <c r="GH159" s="1708"/>
      <c r="GI159" s="1708"/>
      <c r="GJ159" s="1708"/>
      <c r="GK159" s="1708"/>
      <c r="GL159" s="1708"/>
      <c r="GM159" s="1708"/>
      <c r="GN159" s="1708"/>
      <c r="GO159" s="1708"/>
      <c r="GP159" s="1708"/>
      <c r="GQ159" s="1708"/>
      <c r="GR159" s="1708"/>
      <c r="GS159" s="1708"/>
      <c r="GT159" s="1708"/>
      <c r="GU159" s="1708"/>
      <c r="GV159" s="1708"/>
      <c r="GW159" s="1708"/>
      <c r="GX159" s="1708"/>
      <c r="GY159" s="1708"/>
      <c r="GZ159" s="1708"/>
      <c r="HA159" s="1708"/>
      <c r="HB159" s="1708"/>
      <c r="HC159" s="1708"/>
      <c r="HD159" s="1708"/>
      <c r="HE159" s="1708"/>
      <c r="HF159" s="1708"/>
      <c r="HG159" s="1708"/>
      <c r="HH159" s="1708"/>
      <c r="HI159" s="1708"/>
      <c r="HJ159" s="1708"/>
      <c r="HK159" s="1708"/>
      <c r="HL159" s="1708"/>
      <c r="HM159" s="1708"/>
      <c r="HN159" s="1708"/>
      <c r="HO159" s="1708"/>
      <c r="HP159" s="1708"/>
      <c r="HQ159" s="1708"/>
      <c r="HR159" s="1708"/>
      <c r="HS159" s="1708"/>
      <c r="HT159" s="1708"/>
      <c r="HU159" s="1708"/>
      <c r="HV159" s="1708"/>
      <c r="HW159" s="1708"/>
      <c r="HX159" s="1708"/>
      <c r="HY159" s="1708"/>
      <c r="HZ159" s="1708"/>
      <c r="IA159" s="1708"/>
      <c r="IB159" s="1708"/>
      <c r="IC159" s="1708"/>
      <c r="ID159" s="1708"/>
      <c r="IE159" s="1708"/>
      <c r="IF159" s="1708"/>
      <c r="IG159" s="1708"/>
      <c r="IH159" s="1708"/>
      <c r="II159" s="1708"/>
      <c r="IJ159" s="1708"/>
      <c r="IK159" s="1708"/>
      <c r="IL159" s="1708"/>
      <c r="IM159" s="1708"/>
      <c r="IN159" s="1708"/>
      <c r="IO159" s="1708"/>
      <c r="IP159" s="1708"/>
      <c r="IQ159" s="1708"/>
      <c r="IR159" s="1708"/>
      <c r="IS159" s="1708"/>
      <c r="IT159" s="1708"/>
      <c r="IU159" s="1708"/>
      <c r="IV159" s="1708"/>
    </row>
    <row r="160" spans="2:256" s="57" customFormat="1" x14ac:dyDescent="0.25">
      <c r="B160" s="1836"/>
      <c r="G160" s="1849"/>
      <c r="J160" s="1850"/>
      <c r="K160" s="1850"/>
      <c r="S160" s="1708"/>
      <c r="T160" s="1708"/>
      <c r="U160" s="1708"/>
      <c r="V160" s="1708"/>
      <c r="W160" s="1708"/>
      <c r="X160" s="1708"/>
      <c r="Y160" s="1708"/>
      <c r="Z160" s="1708"/>
      <c r="AA160" s="1708"/>
      <c r="AB160" s="1708"/>
      <c r="AC160" s="1708"/>
      <c r="AD160" s="1708"/>
      <c r="AE160" s="1708"/>
      <c r="AF160" s="1708"/>
      <c r="AG160" s="1708"/>
      <c r="AH160" s="1708"/>
      <c r="AI160" s="1708"/>
      <c r="AJ160" s="1708"/>
      <c r="AK160" s="1708"/>
      <c r="AL160" s="1708"/>
      <c r="AM160" s="1708"/>
      <c r="AN160" s="1708"/>
      <c r="AO160" s="1708"/>
      <c r="AP160" s="1708"/>
      <c r="AQ160" s="1708"/>
      <c r="AR160" s="1708"/>
      <c r="AS160" s="1708"/>
      <c r="AT160" s="1708"/>
      <c r="AU160" s="1708"/>
      <c r="AV160" s="1708"/>
      <c r="AW160" s="1708"/>
      <c r="AX160" s="1708"/>
      <c r="AY160" s="1708"/>
      <c r="AZ160" s="1708"/>
      <c r="BA160" s="1708"/>
      <c r="BB160" s="1708"/>
      <c r="BC160" s="1708"/>
      <c r="BD160" s="1708"/>
      <c r="BE160" s="1708"/>
      <c r="BF160" s="1708"/>
      <c r="BG160" s="1708"/>
      <c r="BH160" s="1708"/>
      <c r="BI160" s="1708"/>
      <c r="BJ160" s="1708"/>
      <c r="BK160" s="1708"/>
      <c r="BL160" s="1708"/>
      <c r="BM160" s="1708"/>
      <c r="BN160" s="1708"/>
      <c r="BO160" s="1708"/>
      <c r="BP160" s="1708"/>
      <c r="BQ160" s="1708"/>
      <c r="BR160" s="1708"/>
      <c r="BS160" s="1708"/>
      <c r="BT160" s="1708"/>
      <c r="BU160" s="1708"/>
      <c r="BV160" s="1708"/>
      <c r="BW160" s="1708"/>
      <c r="BX160" s="1708"/>
      <c r="BY160" s="1708"/>
      <c r="BZ160" s="1708"/>
      <c r="CA160" s="1708"/>
      <c r="CB160" s="1708"/>
      <c r="CC160" s="1708"/>
      <c r="CD160" s="1708"/>
      <c r="CE160" s="1708"/>
      <c r="CF160" s="1708"/>
      <c r="CG160" s="1708"/>
      <c r="CH160" s="1708"/>
      <c r="CI160" s="1708"/>
      <c r="CJ160" s="1708"/>
      <c r="CK160" s="1708"/>
      <c r="CL160" s="1708"/>
      <c r="CM160" s="1708"/>
      <c r="CN160" s="1708"/>
      <c r="CO160" s="1708"/>
      <c r="CP160" s="1708"/>
      <c r="CQ160" s="1708"/>
      <c r="CR160" s="1708"/>
      <c r="CS160" s="1708"/>
      <c r="CT160" s="1708"/>
      <c r="CU160" s="1708"/>
      <c r="CV160" s="1708"/>
      <c r="CW160" s="1708"/>
      <c r="CX160" s="1708"/>
      <c r="CY160" s="1708"/>
      <c r="CZ160" s="1708"/>
      <c r="DA160" s="1708"/>
      <c r="DB160" s="1708"/>
      <c r="DC160" s="1708"/>
      <c r="DD160" s="1708"/>
      <c r="DE160" s="1708"/>
      <c r="DF160" s="1708"/>
      <c r="DG160" s="1708"/>
      <c r="DH160" s="1708"/>
      <c r="DI160" s="1708"/>
      <c r="DJ160" s="1708"/>
      <c r="DK160" s="1708"/>
      <c r="DL160" s="1708"/>
      <c r="DM160" s="1708"/>
      <c r="DN160" s="1708"/>
      <c r="DO160" s="1708"/>
      <c r="DP160" s="1708"/>
      <c r="DQ160" s="1708"/>
      <c r="DR160" s="1708"/>
      <c r="DS160" s="1708"/>
      <c r="DT160" s="1708"/>
      <c r="DU160" s="1708"/>
      <c r="DV160" s="1708"/>
      <c r="DW160" s="1708"/>
      <c r="DX160" s="1708"/>
      <c r="DY160" s="1708"/>
      <c r="DZ160" s="1708"/>
      <c r="EA160" s="1708"/>
      <c r="EB160" s="1708"/>
      <c r="EC160" s="1708"/>
      <c r="ED160" s="1708"/>
      <c r="EE160" s="1708"/>
      <c r="EF160" s="1708"/>
      <c r="EG160" s="1708"/>
      <c r="EH160" s="1708"/>
      <c r="EI160" s="1708"/>
      <c r="EJ160" s="1708"/>
      <c r="EK160" s="1708"/>
      <c r="EL160" s="1708"/>
      <c r="EM160" s="1708"/>
      <c r="EN160" s="1708"/>
      <c r="EO160" s="1708"/>
      <c r="EP160" s="1708"/>
      <c r="EQ160" s="1708"/>
      <c r="ER160" s="1708"/>
      <c r="ES160" s="1708"/>
      <c r="ET160" s="1708"/>
      <c r="EU160" s="1708"/>
      <c r="EV160" s="1708"/>
      <c r="EW160" s="1708"/>
      <c r="EX160" s="1708"/>
      <c r="EY160" s="1708"/>
      <c r="EZ160" s="1708"/>
      <c r="FA160" s="1708"/>
      <c r="FB160" s="1708"/>
      <c r="FC160" s="1708"/>
      <c r="FD160" s="1708"/>
      <c r="FE160" s="1708"/>
      <c r="FF160" s="1708"/>
      <c r="FG160" s="1708"/>
      <c r="FH160" s="1708"/>
      <c r="FI160" s="1708"/>
      <c r="FJ160" s="1708"/>
      <c r="FK160" s="1708"/>
      <c r="FL160" s="1708"/>
      <c r="FM160" s="1708"/>
      <c r="FN160" s="1708"/>
      <c r="FO160" s="1708"/>
      <c r="FP160" s="1708"/>
      <c r="FQ160" s="1708"/>
      <c r="FR160" s="1708"/>
      <c r="FS160" s="1708"/>
      <c r="FT160" s="1708"/>
      <c r="FU160" s="1708"/>
      <c r="FV160" s="1708"/>
      <c r="FW160" s="1708"/>
      <c r="FX160" s="1708"/>
      <c r="FY160" s="1708"/>
      <c r="FZ160" s="1708"/>
      <c r="GA160" s="1708"/>
      <c r="GB160" s="1708"/>
      <c r="GC160" s="1708"/>
      <c r="GD160" s="1708"/>
      <c r="GE160" s="1708"/>
      <c r="GF160" s="1708"/>
      <c r="GG160" s="1708"/>
      <c r="GH160" s="1708"/>
      <c r="GI160" s="1708"/>
      <c r="GJ160" s="1708"/>
      <c r="GK160" s="1708"/>
      <c r="GL160" s="1708"/>
      <c r="GM160" s="1708"/>
      <c r="GN160" s="1708"/>
      <c r="GO160" s="1708"/>
      <c r="GP160" s="1708"/>
      <c r="GQ160" s="1708"/>
      <c r="GR160" s="1708"/>
      <c r="GS160" s="1708"/>
      <c r="GT160" s="1708"/>
      <c r="GU160" s="1708"/>
      <c r="GV160" s="1708"/>
      <c r="GW160" s="1708"/>
      <c r="GX160" s="1708"/>
      <c r="GY160" s="1708"/>
      <c r="GZ160" s="1708"/>
      <c r="HA160" s="1708"/>
      <c r="HB160" s="1708"/>
      <c r="HC160" s="1708"/>
      <c r="HD160" s="1708"/>
      <c r="HE160" s="1708"/>
      <c r="HF160" s="1708"/>
      <c r="HG160" s="1708"/>
      <c r="HH160" s="1708"/>
      <c r="HI160" s="1708"/>
      <c r="HJ160" s="1708"/>
      <c r="HK160" s="1708"/>
      <c r="HL160" s="1708"/>
      <c r="HM160" s="1708"/>
      <c r="HN160" s="1708"/>
      <c r="HO160" s="1708"/>
      <c r="HP160" s="1708"/>
      <c r="HQ160" s="1708"/>
      <c r="HR160" s="1708"/>
      <c r="HS160" s="1708"/>
      <c r="HT160" s="1708"/>
      <c r="HU160" s="1708"/>
      <c r="HV160" s="1708"/>
      <c r="HW160" s="1708"/>
      <c r="HX160" s="1708"/>
      <c r="HY160" s="1708"/>
      <c r="HZ160" s="1708"/>
      <c r="IA160" s="1708"/>
      <c r="IB160" s="1708"/>
      <c r="IC160" s="1708"/>
      <c r="ID160" s="1708"/>
      <c r="IE160" s="1708"/>
      <c r="IF160" s="1708"/>
      <c r="IG160" s="1708"/>
      <c r="IH160" s="1708"/>
      <c r="II160" s="1708"/>
      <c r="IJ160" s="1708"/>
      <c r="IK160" s="1708"/>
      <c r="IL160" s="1708"/>
      <c r="IM160" s="1708"/>
      <c r="IN160" s="1708"/>
      <c r="IO160" s="1708"/>
      <c r="IP160" s="1708"/>
      <c r="IQ160" s="1708"/>
      <c r="IR160" s="1708"/>
      <c r="IS160" s="1708"/>
      <c r="IT160" s="1708"/>
      <c r="IU160" s="1708"/>
      <c r="IV160" s="1708"/>
    </row>
    <row r="161" spans="2:256" s="57" customFormat="1" x14ac:dyDescent="0.25">
      <c r="B161" s="1836"/>
      <c r="G161" s="1849"/>
      <c r="J161" s="1850"/>
      <c r="K161" s="1850"/>
      <c r="S161" s="1708"/>
      <c r="T161" s="1708"/>
      <c r="U161" s="1708"/>
      <c r="V161" s="1708"/>
      <c r="W161" s="1708"/>
      <c r="X161" s="1708"/>
      <c r="Y161" s="1708"/>
      <c r="Z161" s="1708"/>
      <c r="AA161" s="1708"/>
      <c r="AB161" s="1708"/>
      <c r="AC161" s="1708"/>
      <c r="AD161" s="1708"/>
      <c r="AE161" s="1708"/>
      <c r="AF161" s="1708"/>
      <c r="AG161" s="1708"/>
      <c r="AH161" s="1708"/>
      <c r="AI161" s="1708"/>
      <c r="AJ161" s="1708"/>
      <c r="AK161" s="1708"/>
      <c r="AL161" s="1708"/>
      <c r="AM161" s="1708"/>
      <c r="AN161" s="1708"/>
      <c r="AO161" s="1708"/>
      <c r="AP161" s="1708"/>
      <c r="AQ161" s="1708"/>
      <c r="AR161" s="1708"/>
      <c r="AS161" s="1708"/>
      <c r="AT161" s="1708"/>
      <c r="AU161" s="1708"/>
      <c r="AV161" s="1708"/>
      <c r="AW161" s="1708"/>
      <c r="AX161" s="1708"/>
      <c r="AY161" s="1708"/>
      <c r="AZ161" s="1708"/>
      <c r="BA161" s="1708"/>
      <c r="BB161" s="1708"/>
      <c r="BC161" s="1708"/>
      <c r="BD161" s="1708"/>
      <c r="BE161" s="1708"/>
      <c r="BF161" s="1708"/>
      <c r="BG161" s="1708"/>
      <c r="BH161" s="1708"/>
      <c r="BI161" s="1708"/>
      <c r="BJ161" s="1708"/>
      <c r="BK161" s="1708"/>
      <c r="BL161" s="1708"/>
      <c r="BM161" s="1708"/>
      <c r="BN161" s="1708"/>
      <c r="BO161" s="1708"/>
      <c r="BP161" s="1708"/>
      <c r="BQ161" s="1708"/>
      <c r="BR161" s="1708"/>
      <c r="BS161" s="1708"/>
      <c r="BT161" s="1708"/>
      <c r="BU161" s="1708"/>
      <c r="BV161" s="1708"/>
      <c r="BW161" s="1708"/>
      <c r="BX161" s="1708"/>
      <c r="BY161" s="1708"/>
      <c r="BZ161" s="1708"/>
      <c r="CA161" s="1708"/>
      <c r="CB161" s="1708"/>
      <c r="CC161" s="1708"/>
      <c r="CD161" s="1708"/>
      <c r="CE161" s="1708"/>
      <c r="CF161" s="1708"/>
      <c r="CG161" s="1708"/>
      <c r="CH161" s="1708"/>
      <c r="CI161" s="1708"/>
      <c r="CJ161" s="1708"/>
      <c r="CK161" s="1708"/>
      <c r="CL161" s="1708"/>
      <c r="CM161" s="1708"/>
      <c r="CN161" s="1708"/>
      <c r="CO161" s="1708"/>
      <c r="CP161" s="1708"/>
      <c r="CQ161" s="1708"/>
      <c r="CR161" s="1708"/>
      <c r="CS161" s="1708"/>
      <c r="CT161" s="1708"/>
      <c r="CU161" s="1708"/>
      <c r="CV161" s="1708"/>
      <c r="CW161" s="1708"/>
      <c r="CX161" s="1708"/>
      <c r="CY161" s="1708"/>
      <c r="CZ161" s="1708"/>
      <c r="DA161" s="1708"/>
      <c r="DB161" s="1708"/>
      <c r="DC161" s="1708"/>
      <c r="DD161" s="1708"/>
      <c r="DE161" s="1708"/>
      <c r="DF161" s="1708"/>
      <c r="DG161" s="1708"/>
      <c r="DH161" s="1708"/>
      <c r="DI161" s="1708"/>
      <c r="DJ161" s="1708"/>
      <c r="DK161" s="1708"/>
      <c r="DL161" s="1708"/>
      <c r="DM161" s="1708"/>
      <c r="DN161" s="1708"/>
      <c r="DO161" s="1708"/>
      <c r="DP161" s="1708"/>
      <c r="DQ161" s="1708"/>
      <c r="DR161" s="1708"/>
      <c r="DS161" s="1708"/>
      <c r="DT161" s="1708"/>
      <c r="DU161" s="1708"/>
      <c r="DV161" s="1708"/>
      <c r="DW161" s="1708"/>
      <c r="DX161" s="1708"/>
      <c r="DY161" s="1708"/>
      <c r="DZ161" s="1708"/>
      <c r="EA161" s="1708"/>
      <c r="EB161" s="1708"/>
      <c r="EC161" s="1708"/>
      <c r="ED161" s="1708"/>
      <c r="EE161" s="1708"/>
      <c r="EF161" s="1708"/>
      <c r="EG161" s="1708"/>
      <c r="EH161" s="1708"/>
      <c r="EI161" s="1708"/>
      <c r="EJ161" s="1708"/>
      <c r="EK161" s="1708"/>
      <c r="EL161" s="1708"/>
      <c r="EM161" s="1708"/>
      <c r="EN161" s="1708"/>
      <c r="EO161" s="1708"/>
      <c r="EP161" s="1708"/>
      <c r="EQ161" s="1708"/>
      <c r="ER161" s="1708"/>
      <c r="ES161" s="1708"/>
      <c r="ET161" s="1708"/>
      <c r="EU161" s="1708"/>
      <c r="EV161" s="1708"/>
      <c r="EW161" s="1708"/>
      <c r="EX161" s="1708"/>
      <c r="EY161" s="1708"/>
      <c r="EZ161" s="1708"/>
      <c r="FA161" s="1708"/>
      <c r="FB161" s="1708"/>
      <c r="FC161" s="1708"/>
      <c r="FD161" s="1708"/>
      <c r="FE161" s="1708"/>
      <c r="FF161" s="1708"/>
      <c r="FG161" s="1708"/>
      <c r="FH161" s="1708"/>
      <c r="FI161" s="1708"/>
      <c r="FJ161" s="1708"/>
      <c r="FK161" s="1708"/>
      <c r="FL161" s="1708"/>
      <c r="FM161" s="1708"/>
      <c r="FN161" s="1708"/>
      <c r="FO161" s="1708"/>
      <c r="FP161" s="1708"/>
      <c r="FQ161" s="1708"/>
      <c r="FR161" s="1708"/>
      <c r="FS161" s="1708"/>
      <c r="FT161" s="1708"/>
      <c r="FU161" s="1708"/>
      <c r="FV161" s="1708"/>
      <c r="FW161" s="1708"/>
      <c r="FX161" s="1708"/>
      <c r="FY161" s="1708"/>
      <c r="FZ161" s="1708"/>
      <c r="GA161" s="1708"/>
      <c r="GB161" s="1708"/>
      <c r="GC161" s="1708"/>
      <c r="GD161" s="1708"/>
      <c r="GE161" s="1708"/>
      <c r="GF161" s="1708"/>
      <c r="GG161" s="1708"/>
      <c r="GH161" s="1708"/>
      <c r="GI161" s="1708"/>
      <c r="GJ161" s="1708"/>
      <c r="GK161" s="1708"/>
      <c r="GL161" s="1708"/>
      <c r="GM161" s="1708"/>
      <c r="GN161" s="1708"/>
      <c r="GO161" s="1708"/>
      <c r="GP161" s="1708"/>
      <c r="GQ161" s="1708"/>
      <c r="GR161" s="1708"/>
      <c r="GS161" s="1708"/>
      <c r="GT161" s="1708"/>
      <c r="GU161" s="1708"/>
      <c r="GV161" s="1708"/>
      <c r="GW161" s="1708"/>
      <c r="GX161" s="1708"/>
      <c r="GY161" s="1708"/>
      <c r="GZ161" s="1708"/>
      <c r="HA161" s="1708"/>
      <c r="HB161" s="1708"/>
      <c r="HC161" s="1708"/>
      <c r="HD161" s="1708"/>
      <c r="HE161" s="1708"/>
      <c r="HF161" s="1708"/>
      <c r="HG161" s="1708"/>
      <c r="HH161" s="1708"/>
      <c r="HI161" s="1708"/>
      <c r="HJ161" s="1708"/>
      <c r="HK161" s="1708"/>
      <c r="HL161" s="1708"/>
      <c r="HM161" s="1708"/>
      <c r="HN161" s="1708"/>
      <c r="HO161" s="1708"/>
      <c r="HP161" s="1708"/>
      <c r="HQ161" s="1708"/>
      <c r="HR161" s="1708"/>
      <c r="HS161" s="1708"/>
      <c r="HT161" s="1708"/>
      <c r="HU161" s="1708"/>
      <c r="HV161" s="1708"/>
      <c r="HW161" s="1708"/>
      <c r="HX161" s="1708"/>
      <c r="HY161" s="1708"/>
      <c r="HZ161" s="1708"/>
      <c r="IA161" s="1708"/>
      <c r="IB161" s="1708"/>
      <c r="IC161" s="1708"/>
      <c r="ID161" s="1708"/>
      <c r="IE161" s="1708"/>
      <c r="IF161" s="1708"/>
      <c r="IG161" s="1708"/>
      <c r="IH161" s="1708"/>
      <c r="II161" s="1708"/>
      <c r="IJ161" s="1708"/>
      <c r="IK161" s="1708"/>
      <c r="IL161" s="1708"/>
      <c r="IM161" s="1708"/>
      <c r="IN161" s="1708"/>
      <c r="IO161" s="1708"/>
      <c r="IP161" s="1708"/>
      <c r="IQ161" s="1708"/>
      <c r="IR161" s="1708"/>
      <c r="IS161" s="1708"/>
      <c r="IT161" s="1708"/>
      <c r="IU161" s="1708"/>
      <c r="IV161" s="1708"/>
    </row>
    <row r="162" spans="2:256" s="57" customFormat="1" x14ac:dyDescent="0.25">
      <c r="B162" s="1836"/>
      <c r="G162" s="1849"/>
      <c r="J162" s="1850"/>
      <c r="K162" s="1850"/>
      <c r="S162" s="1708"/>
      <c r="T162" s="1708"/>
      <c r="U162" s="1708"/>
      <c r="V162" s="1708"/>
      <c r="W162" s="1708"/>
      <c r="X162" s="1708"/>
      <c r="Y162" s="1708"/>
      <c r="Z162" s="1708"/>
      <c r="AA162" s="1708"/>
      <c r="AB162" s="1708"/>
      <c r="AC162" s="1708"/>
      <c r="AD162" s="1708"/>
      <c r="AE162" s="1708"/>
      <c r="AF162" s="1708"/>
      <c r="AG162" s="1708"/>
      <c r="AH162" s="1708"/>
      <c r="AI162" s="1708"/>
      <c r="AJ162" s="1708"/>
      <c r="AK162" s="1708"/>
      <c r="AL162" s="1708"/>
      <c r="AM162" s="1708"/>
      <c r="AN162" s="1708"/>
      <c r="AO162" s="1708"/>
      <c r="AP162" s="1708"/>
      <c r="AQ162" s="1708"/>
      <c r="AR162" s="1708"/>
      <c r="AS162" s="1708"/>
      <c r="AT162" s="1708"/>
      <c r="AU162" s="1708"/>
      <c r="AV162" s="1708"/>
      <c r="AW162" s="1708"/>
      <c r="AX162" s="1708"/>
      <c r="AY162" s="1708"/>
      <c r="AZ162" s="1708"/>
      <c r="BA162" s="1708"/>
      <c r="BB162" s="1708"/>
      <c r="BC162" s="1708"/>
      <c r="BD162" s="1708"/>
      <c r="BE162" s="1708"/>
      <c r="BF162" s="1708"/>
      <c r="BG162" s="1708"/>
      <c r="BH162" s="1708"/>
      <c r="BI162" s="1708"/>
      <c r="BJ162" s="1708"/>
      <c r="BK162" s="1708"/>
      <c r="BL162" s="1708"/>
      <c r="BM162" s="1708"/>
      <c r="BN162" s="1708"/>
      <c r="BO162" s="1708"/>
      <c r="BP162" s="1708"/>
      <c r="BQ162" s="1708"/>
      <c r="BR162" s="1708"/>
      <c r="BS162" s="1708"/>
      <c r="BT162" s="1708"/>
      <c r="BU162" s="1708"/>
      <c r="BV162" s="1708"/>
      <c r="BW162" s="1708"/>
      <c r="BX162" s="1708"/>
      <c r="BY162" s="1708"/>
      <c r="BZ162" s="1708"/>
      <c r="CA162" s="1708"/>
      <c r="CB162" s="1708"/>
      <c r="CC162" s="1708"/>
      <c r="CD162" s="1708"/>
      <c r="CE162" s="1708"/>
      <c r="CF162" s="1708"/>
      <c r="CG162" s="1708"/>
      <c r="CH162" s="1708"/>
      <c r="CI162" s="1708"/>
      <c r="CJ162" s="1708"/>
      <c r="CK162" s="1708"/>
      <c r="CL162" s="1708"/>
      <c r="CM162" s="1708"/>
      <c r="CN162" s="1708"/>
      <c r="CO162" s="1708"/>
      <c r="CP162" s="1708"/>
      <c r="CQ162" s="1708"/>
      <c r="CR162" s="1708"/>
      <c r="CS162" s="1708"/>
      <c r="CT162" s="1708"/>
      <c r="CU162" s="1708"/>
      <c r="CV162" s="1708"/>
      <c r="CW162" s="1708"/>
      <c r="CX162" s="1708"/>
      <c r="CY162" s="1708"/>
      <c r="CZ162" s="1708"/>
      <c r="DA162" s="1708"/>
      <c r="DB162" s="1708"/>
      <c r="DC162" s="1708"/>
      <c r="DD162" s="1708"/>
      <c r="DE162" s="1708"/>
      <c r="DF162" s="1708"/>
      <c r="DG162" s="1708"/>
      <c r="DH162" s="1708"/>
      <c r="DI162" s="1708"/>
      <c r="DJ162" s="1708"/>
      <c r="DK162" s="1708"/>
      <c r="DL162" s="1708"/>
      <c r="DM162" s="1708"/>
      <c r="DN162" s="1708"/>
      <c r="DO162" s="1708"/>
      <c r="DP162" s="1708"/>
      <c r="DQ162" s="1708"/>
      <c r="DR162" s="1708"/>
      <c r="DS162" s="1708"/>
      <c r="DT162" s="1708"/>
      <c r="DU162" s="1708"/>
      <c r="DV162" s="1708"/>
      <c r="DW162" s="1708"/>
      <c r="DX162" s="1708"/>
      <c r="DY162" s="1708"/>
      <c r="DZ162" s="1708"/>
      <c r="EA162" s="1708"/>
      <c r="EB162" s="1708"/>
      <c r="EC162" s="1708"/>
      <c r="ED162" s="1708"/>
      <c r="EE162" s="1708"/>
      <c r="EF162" s="1708"/>
      <c r="EG162" s="1708"/>
      <c r="EH162" s="1708"/>
      <c r="EI162" s="1708"/>
      <c r="EJ162" s="1708"/>
      <c r="EK162" s="1708"/>
      <c r="EL162" s="1708"/>
      <c r="EM162" s="1708"/>
      <c r="EN162" s="1708"/>
      <c r="EO162" s="1708"/>
      <c r="EP162" s="1708"/>
      <c r="EQ162" s="1708"/>
      <c r="ER162" s="1708"/>
      <c r="ES162" s="1708"/>
      <c r="ET162" s="1708"/>
      <c r="EU162" s="1708"/>
      <c r="EV162" s="1708"/>
      <c r="EW162" s="1708"/>
      <c r="EX162" s="1708"/>
      <c r="EY162" s="1708"/>
      <c r="EZ162" s="1708"/>
      <c r="FA162" s="1708"/>
      <c r="FB162" s="1708"/>
      <c r="FC162" s="1708"/>
      <c r="FD162" s="1708"/>
      <c r="FE162" s="1708"/>
      <c r="FF162" s="1708"/>
      <c r="FG162" s="1708"/>
      <c r="FH162" s="1708"/>
      <c r="FI162" s="1708"/>
      <c r="FJ162" s="1708"/>
      <c r="FK162" s="1708"/>
      <c r="FL162" s="1708"/>
      <c r="FM162" s="1708"/>
      <c r="FN162" s="1708"/>
      <c r="FO162" s="1708"/>
      <c r="FP162" s="1708"/>
      <c r="FQ162" s="1708"/>
      <c r="FR162" s="1708"/>
      <c r="FS162" s="1708"/>
      <c r="FT162" s="1708"/>
      <c r="FU162" s="1708"/>
      <c r="FV162" s="1708"/>
      <c r="FW162" s="1708"/>
      <c r="FX162" s="1708"/>
      <c r="FY162" s="1708"/>
      <c r="FZ162" s="1708"/>
      <c r="GA162" s="1708"/>
      <c r="GB162" s="1708"/>
      <c r="GC162" s="1708"/>
      <c r="GD162" s="1708"/>
      <c r="GE162" s="1708"/>
      <c r="GF162" s="1708"/>
      <c r="GG162" s="1708"/>
      <c r="GH162" s="1708"/>
      <c r="GI162" s="1708"/>
      <c r="GJ162" s="1708"/>
      <c r="GK162" s="1708"/>
      <c r="GL162" s="1708"/>
      <c r="GM162" s="1708"/>
      <c r="GN162" s="1708"/>
      <c r="GO162" s="1708"/>
      <c r="GP162" s="1708"/>
      <c r="GQ162" s="1708"/>
      <c r="GR162" s="1708"/>
      <c r="GS162" s="1708"/>
      <c r="GT162" s="1708"/>
      <c r="GU162" s="1708"/>
      <c r="GV162" s="1708"/>
      <c r="GW162" s="1708"/>
      <c r="GX162" s="1708"/>
      <c r="GY162" s="1708"/>
      <c r="GZ162" s="1708"/>
      <c r="HA162" s="1708"/>
      <c r="HB162" s="1708"/>
      <c r="HC162" s="1708"/>
      <c r="HD162" s="1708"/>
      <c r="HE162" s="1708"/>
      <c r="HF162" s="1708"/>
      <c r="HG162" s="1708"/>
      <c r="HH162" s="1708"/>
      <c r="HI162" s="1708"/>
      <c r="HJ162" s="1708"/>
      <c r="HK162" s="1708"/>
      <c r="HL162" s="1708"/>
      <c r="HM162" s="1708"/>
      <c r="HN162" s="1708"/>
      <c r="HO162" s="1708"/>
      <c r="HP162" s="1708"/>
      <c r="HQ162" s="1708"/>
      <c r="HR162" s="1708"/>
      <c r="HS162" s="1708"/>
      <c r="HT162" s="1708"/>
      <c r="HU162" s="1708"/>
      <c r="HV162" s="1708"/>
      <c r="HW162" s="1708"/>
      <c r="HX162" s="1708"/>
      <c r="HY162" s="1708"/>
      <c r="HZ162" s="1708"/>
      <c r="IA162" s="1708"/>
      <c r="IB162" s="1708"/>
      <c r="IC162" s="1708"/>
      <c r="ID162" s="1708"/>
      <c r="IE162" s="1708"/>
      <c r="IF162" s="1708"/>
      <c r="IG162" s="1708"/>
      <c r="IH162" s="1708"/>
      <c r="II162" s="1708"/>
      <c r="IJ162" s="1708"/>
      <c r="IK162" s="1708"/>
      <c r="IL162" s="1708"/>
      <c r="IM162" s="1708"/>
      <c r="IN162" s="1708"/>
      <c r="IO162" s="1708"/>
      <c r="IP162" s="1708"/>
      <c r="IQ162" s="1708"/>
      <c r="IR162" s="1708"/>
      <c r="IS162" s="1708"/>
      <c r="IT162" s="1708"/>
      <c r="IU162" s="1708"/>
      <c r="IV162" s="1708"/>
    </row>
    <row r="163" spans="2:256" s="57" customFormat="1" x14ac:dyDescent="0.25">
      <c r="B163" s="1836"/>
      <c r="G163" s="1849"/>
      <c r="J163" s="1850"/>
      <c r="K163" s="1850"/>
      <c r="S163" s="1708"/>
      <c r="T163" s="1708"/>
      <c r="U163" s="1708"/>
      <c r="V163" s="1708"/>
      <c r="W163" s="1708"/>
      <c r="X163" s="1708"/>
      <c r="Y163" s="1708"/>
      <c r="Z163" s="1708"/>
      <c r="AA163" s="1708"/>
      <c r="AB163" s="1708"/>
      <c r="AC163" s="1708"/>
      <c r="AD163" s="1708"/>
      <c r="AE163" s="1708"/>
      <c r="AF163" s="1708"/>
      <c r="AG163" s="1708"/>
      <c r="AH163" s="1708"/>
      <c r="AI163" s="1708"/>
      <c r="AJ163" s="1708"/>
      <c r="AK163" s="1708"/>
      <c r="AL163" s="1708"/>
      <c r="AM163" s="1708"/>
      <c r="AN163" s="1708"/>
      <c r="AO163" s="1708"/>
      <c r="AP163" s="1708"/>
      <c r="AQ163" s="1708"/>
      <c r="AR163" s="1708"/>
      <c r="AS163" s="1708"/>
      <c r="AT163" s="1708"/>
      <c r="AU163" s="1708"/>
      <c r="AV163" s="1708"/>
      <c r="AW163" s="1708"/>
      <c r="AX163" s="1708"/>
      <c r="AY163" s="1708"/>
      <c r="AZ163" s="1708"/>
      <c r="BA163" s="1708"/>
      <c r="BB163" s="1708"/>
      <c r="BC163" s="1708"/>
      <c r="BD163" s="1708"/>
      <c r="BE163" s="1708"/>
      <c r="BF163" s="1708"/>
      <c r="BG163" s="1708"/>
      <c r="BH163" s="1708"/>
      <c r="BI163" s="1708"/>
      <c r="BJ163" s="1708"/>
      <c r="BK163" s="1708"/>
      <c r="BL163" s="1708"/>
      <c r="BM163" s="1708"/>
      <c r="BN163" s="1708"/>
      <c r="BO163" s="1708"/>
      <c r="BP163" s="1708"/>
      <c r="BQ163" s="1708"/>
      <c r="BR163" s="1708"/>
      <c r="BS163" s="1708"/>
      <c r="BT163" s="1708"/>
      <c r="BU163" s="1708"/>
      <c r="BV163" s="1708"/>
      <c r="BW163" s="1708"/>
      <c r="BX163" s="1708"/>
      <c r="BY163" s="1708"/>
      <c r="BZ163" s="1708"/>
      <c r="CA163" s="1708"/>
      <c r="CB163" s="1708"/>
      <c r="CC163" s="1708"/>
      <c r="CD163" s="1708"/>
      <c r="CE163" s="1708"/>
      <c r="CF163" s="1708"/>
      <c r="CG163" s="1708"/>
      <c r="CH163" s="1708"/>
      <c r="CI163" s="1708"/>
      <c r="CJ163" s="1708"/>
      <c r="CK163" s="1708"/>
      <c r="CL163" s="1708"/>
      <c r="CM163" s="1708"/>
      <c r="CN163" s="1708"/>
      <c r="CO163" s="1708"/>
      <c r="CP163" s="1708"/>
      <c r="CQ163" s="1708"/>
      <c r="CR163" s="1708"/>
      <c r="CS163" s="1708"/>
      <c r="CT163" s="1708"/>
      <c r="CU163" s="1708"/>
      <c r="CV163" s="1708"/>
      <c r="CW163" s="1708"/>
      <c r="CX163" s="1708"/>
      <c r="CY163" s="1708"/>
      <c r="CZ163" s="1708"/>
      <c r="DA163" s="1708"/>
      <c r="DB163" s="1708"/>
      <c r="DC163" s="1708"/>
      <c r="DD163" s="1708"/>
      <c r="DE163" s="1708"/>
      <c r="DF163" s="1708"/>
      <c r="DG163" s="1708"/>
      <c r="DH163" s="1708"/>
      <c r="DI163" s="1708"/>
      <c r="DJ163" s="1708"/>
      <c r="DK163" s="1708"/>
      <c r="DL163" s="1708"/>
      <c r="DM163" s="1708"/>
      <c r="DN163" s="1708"/>
      <c r="DO163" s="1708"/>
      <c r="DP163" s="1708"/>
      <c r="DQ163" s="1708"/>
      <c r="DR163" s="1708"/>
      <c r="DS163" s="1708"/>
      <c r="DT163" s="1708"/>
      <c r="DU163" s="1708"/>
      <c r="DV163" s="1708"/>
      <c r="DW163" s="1708"/>
      <c r="DX163" s="1708"/>
      <c r="DY163" s="1708"/>
      <c r="DZ163" s="1708"/>
      <c r="EA163" s="1708"/>
      <c r="EB163" s="1708"/>
      <c r="EC163" s="1708"/>
      <c r="ED163" s="1708"/>
      <c r="EE163" s="1708"/>
      <c r="EF163" s="1708"/>
      <c r="EG163" s="1708"/>
      <c r="EH163" s="1708"/>
      <c r="EI163" s="1708"/>
      <c r="EJ163" s="1708"/>
      <c r="EK163" s="1708"/>
      <c r="EL163" s="1708"/>
      <c r="EM163" s="1708"/>
      <c r="EN163" s="1708"/>
      <c r="EO163" s="1708"/>
      <c r="EP163" s="1708"/>
      <c r="EQ163" s="1708"/>
      <c r="ER163" s="1708"/>
      <c r="ES163" s="1708"/>
      <c r="ET163" s="1708"/>
      <c r="EU163" s="1708"/>
      <c r="EV163" s="1708"/>
      <c r="EW163" s="1708"/>
      <c r="EX163" s="1708"/>
      <c r="EY163" s="1708"/>
      <c r="EZ163" s="1708"/>
      <c r="FA163" s="1708"/>
      <c r="FB163" s="1708"/>
      <c r="FC163" s="1708"/>
      <c r="FD163" s="1708"/>
      <c r="FE163" s="1708"/>
      <c r="FF163" s="1708"/>
      <c r="FG163" s="1708"/>
      <c r="FH163" s="1708"/>
      <c r="FI163" s="1708"/>
      <c r="FJ163" s="1708"/>
      <c r="FK163" s="1708"/>
      <c r="FL163" s="1708"/>
      <c r="FM163" s="1708"/>
      <c r="FN163" s="1708"/>
      <c r="FO163" s="1708"/>
      <c r="FP163" s="1708"/>
      <c r="FQ163" s="1708"/>
      <c r="FR163" s="1708"/>
      <c r="FS163" s="1708"/>
      <c r="FT163" s="1708"/>
      <c r="FU163" s="1708"/>
      <c r="FV163" s="1708"/>
      <c r="FW163" s="1708"/>
      <c r="FX163" s="1708"/>
      <c r="FY163" s="1708"/>
      <c r="FZ163" s="1708"/>
      <c r="GA163" s="1708"/>
      <c r="GB163" s="1708"/>
      <c r="GC163" s="1708"/>
      <c r="GD163" s="1708"/>
      <c r="GE163" s="1708"/>
      <c r="GF163" s="1708"/>
      <c r="GG163" s="1708"/>
      <c r="GH163" s="1708"/>
      <c r="GI163" s="1708"/>
      <c r="GJ163" s="1708"/>
      <c r="GK163" s="1708"/>
      <c r="GL163" s="1708"/>
      <c r="GM163" s="1708"/>
      <c r="GN163" s="1708"/>
      <c r="GO163" s="1708"/>
      <c r="GP163" s="1708"/>
      <c r="GQ163" s="1708"/>
      <c r="GR163" s="1708"/>
      <c r="GS163" s="1708"/>
      <c r="GT163" s="1708"/>
      <c r="GU163" s="1708"/>
      <c r="GV163" s="1708"/>
      <c r="GW163" s="1708"/>
      <c r="GX163" s="1708"/>
      <c r="GY163" s="1708"/>
      <c r="GZ163" s="1708"/>
      <c r="HA163" s="1708"/>
      <c r="HB163" s="1708"/>
      <c r="HC163" s="1708"/>
      <c r="HD163" s="1708"/>
      <c r="HE163" s="1708"/>
      <c r="HF163" s="1708"/>
      <c r="HG163" s="1708"/>
      <c r="HH163" s="1708"/>
      <c r="HI163" s="1708"/>
      <c r="HJ163" s="1708"/>
      <c r="HK163" s="1708"/>
      <c r="HL163" s="1708"/>
      <c r="HM163" s="1708"/>
      <c r="HN163" s="1708"/>
      <c r="HO163" s="1708"/>
      <c r="HP163" s="1708"/>
      <c r="HQ163" s="1708"/>
      <c r="HR163" s="1708"/>
      <c r="HS163" s="1708"/>
      <c r="HT163" s="1708"/>
      <c r="HU163" s="1708"/>
      <c r="HV163" s="1708"/>
      <c r="HW163" s="1708"/>
      <c r="HX163" s="1708"/>
      <c r="HY163" s="1708"/>
      <c r="HZ163" s="1708"/>
      <c r="IA163" s="1708"/>
      <c r="IB163" s="1708"/>
      <c r="IC163" s="1708"/>
      <c r="ID163" s="1708"/>
      <c r="IE163" s="1708"/>
      <c r="IF163" s="1708"/>
      <c r="IG163" s="1708"/>
      <c r="IH163" s="1708"/>
      <c r="II163" s="1708"/>
      <c r="IJ163" s="1708"/>
      <c r="IK163" s="1708"/>
      <c r="IL163" s="1708"/>
      <c r="IM163" s="1708"/>
      <c r="IN163" s="1708"/>
      <c r="IO163" s="1708"/>
      <c r="IP163" s="1708"/>
      <c r="IQ163" s="1708"/>
      <c r="IR163" s="1708"/>
      <c r="IS163" s="1708"/>
      <c r="IT163" s="1708"/>
      <c r="IU163" s="1708"/>
      <c r="IV163" s="1708"/>
    </row>
    <row r="164" spans="2:256" s="57" customFormat="1" x14ac:dyDescent="0.25">
      <c r="B164" s="1836"/>
      <c r="G164" s="1849"/>
      <c r="J164" s="1850"/>
      <c r="K164" s="1850"/>
      <c r="S164" s="1708"/>
      <c r="T164" s="1708"/>
      <c r="U164" s="1708"/>
      <c r="V164" s="1708"/>
      <c r="W164" s="1708"/>
      <c r="X164" s="1708"/>
      <c r="Y164" s="1708"/>
      <c r="Z164" s="1708"/>
      <c r="AA164" s="1708"/>
      <c r="AB164" s="1708"/>
      <c r="AC164" s="1708"/>
      <c r="AD164" s="1708"/>
      <c r="AE164" s="1708"/>
      <c r="AF164" s="1708"/>
      <c r="AG164" s="1708"/>
      <c r="AH164" s="1708"/>
      <c r="AI164" s="1708"/>
      <c r="AJ164" s="1708"/>
      <c r="AK164" s="1708"/>
      <c r="AL164" s="1708"/>
      <c r="AM164" s="1708"/>
      <c r="AN164" s="1708"/>
      <c r="AO164" s="1708"/>
      <c r="AP164" s="1708"/>
      <c r="AQ164" s="1708"/>
      <c r="AR164" s="1708"/>
      <c r="AS164" s="1708"/>
      <c r="AT164" s="1708"/>
      <c r="AU164" s="1708"/>
      <c r="AV164" s="1708"/>
      <c r="AW164" s="1708"/>
      <c r="AX164" s="1708"/>
      <c r="AY164" s="1708"/>
      <c r="AZ164" s="1708"/>
      <c r="BA164" s="1708"/>
      <c r="BB164" s="1708"/>
      <c r="BC164" s="1708"/>
      <c r="BD164" s="1708"/>
      <c r="BE164" s="1708"/>
      <c r="BF164" s="1708"/>
      <c r="BG164" s="1708"/>
      <c r="BH164" s="1708"/>
      <c r="BI164" s="1708"/>
      <c r="BJ164" s="1708"/>
      <c r="BK164" s="1708"/>
      <c r="BL164" s="1708"/>
      <c r="BM164" s="1708"/>
      <c r="BN164" s="1708"/>
      <c r="BO164" s="1708"/>
      <c r="BP164" s="1708"/>
      <c r="BQ164" s="1708"/>
      <c r="BR164" s="1708"/>
      <c r="BS164" s="1708"/>
      <c r="BT164" s="1708"/>
      <c r="BU164" s="1708"/>
      <c r="BV164" s="1708"/>
      <c r="BW164" s="1708"/>
      <c r="BX164" s="1708"/>
      <c r="BY164" s="1708"/>
      <c r="BZ164" s="1708"/>
      <c r="CA164" s="1708"/>
      <c r="CB164" s="1708"/>
      <c r="CC164" s="1708"/>
      <c r="CD164" s="1708"/>
      <c r="CE164" s="1708"/>
      <c r="CF164" s="1708"/>
      <c r="CG164" s="1708"/>
      <c r="CH164" s="1708"/>
      <c r="CI164" s="1708"/>
      <c r="CJ164" s="1708"/>
      <c r="CK164" s="1708"/>
      <c r="CL164" s="1708"/>
      <c r="CM164" s="1708"/>
      <c r="CN164" s="1708"/>
      <c r="CO164" s="1708"/>
      <c r="CP164" s="1708"/>
      <c r="CQ164" s="1708"/>
      <c r="CR164" s="1708"/>
      <c r="CS164" s="1708"/>
      <c r="CT164" s="1708"/>
      <c r="CU164" s="1708"/>
      <c r="CV164" s="1708"/>
      <c r="CW164" s="1708"/>
      <c r="CX164" s="1708"/>
      <c r="CY164" s="1708"/>
      <c r="CZ164" s="1708"/>
      <c r="DA164" s="1708"/>
      <c r="DB164" s="1708"/>
      <c r="DC164" s="1708"/>
      <c r="DD164" s="1708"/>
      <c r="DE164" s="1708"/>
      <c r="DF164" s="1708"/>
      <c r="DG164" s="1708"/>
      <c r="DH164" s="1708"/>
      <c r="DI164" s="1708"/>
      <c r="DJ164" s="1708"/>
      <c r="DK164" s="1708"/>
      <c r="DL164" s="1708"/>
      <c r="DM164" s="1708"/>
      <c r="DN164" s="1708"/>
      <c r="DO164" s="1708"/>
      <c r="DP164" s="1708"/>
      <c r="DQ164" s="1708"/>
      <c r="DR164" s="1708"/>
      <c r="DS164" s="1708"/>
      <c r="DT164" s="1708"/>
      <c r="DU164" s="1708"/>
      <c r="DV164" s="1708"/>
      <c r="DW164" s="1708"/>
      <c r="DX164" s="1708"/>
      <c r="DY164" s="1708"/>
      <c r="DZ164" s="1708"/>
      <c r="EA164" s="1708"/>
      <c r="EB164" s="1708"/>
      <c r="EC164" s="1708"/>
      <c r="ED164" s="1708"/>
      <c r="EE164" s="1708"/>
      <c r="EF164" s="1708"/>
      <c r="EG164" s="1708"/>
      <c r="EH164" s="1708"/>
      <c r="EI164" s="1708"/>
      <c r="EJ164" s="1708"/>
      <c r="EK164" s="1708"/>
      <c r="EL164" s="1708"/>
      <c r="EM164" s="1708"/>
      <c r="EN164" s="1708"/>
      <c r="EO164" s="1708"/>
      <c r="EP164" s="1708"/>
      <c r="EQ164" s="1708"/>
      <c r="ER164" s="1708"/>
      <c r="ES164" s="1708"/>
      <c r="ET164" s="1708"/>
      <c r="EU164" s="1708"/>
      <c r="EV164" s="1708"/>
      <c r="EW164" s="1708"/>
      <c r="EX164" s="1708"/>
      <c r="EY164" s="1708"/>
      <c r="EZ164" s="1708"/>
      <c r="FA164" s="1708"/>
      <c r="FB164" s="1708"/>
      <c r="FC164" s="1708"/>
      <c r="FD164" s="1708"/>
      <c r="FE164" s="1708"/>
      <c r="FF164" s="1708"/>
      <c r="FG164" s="1708"/>
      <c r="FH164" s="1708"/>
      <c r="FI164" s="1708"/>
      <c r="FJ164" s="1708"/>
      <c r="FK164" s="1708"/>
      <c r="FL164" s="1708"/>
      <c r="FM164" s="1708"/>
      <c r="FN164" s="1708"/>
      <c r="FO164" s="1708"/>
      <c r="FP164" s="1708"/>
      <c r="FQ164" s="1708"/>
      <c r="FR164" s="1708"/>
      <c r="FS164" s="1708"/>
      <c r="FT164" s="1708"/>
      <c r="FU164" s="1708"/>
      <c r="FV164" s="1708"/>
      <c r="FW164" s="1708"/>
      <c r="FX164" s="1708"/>
      <c r="FY164" s="1708"/>
      <c r="FZ164" s="1708"/>
      <c r="GA164" s="1708"/>
      <c r="GB164" s="1708"/>
      <c r="GC164" s="1708"/>
      <c r="GD164" s="1708"/>
      <c r="GE164" s="1708"/>
      <c r="GF164" s="1708"/>
      <c r="GG164" s="1708"/>
      <c r="GH164" s="1708"/>
      <c r="GI164" s="1708"/>
      <c r="GJ164" s="1708"/>
      <c r="GK164" s="1708"/>
      <c r="GL164" s="1708"/>
      <c r="GM164" s="1708"/>
      <c r="GN164" s="1708"/>
      <c r="GO164" s="1708"/>
      <c r="GP164" s="1708"/>
      <c r="GQ164" s="1708"/>
      <c r="GR164" s="1708"/>
      <c r="GS164" s="1708"/>
      <c r="GT164" s="1708"/>
      <c r="GU164" s="1708"/>
      <c r="GV164" s="1708"/>
      <c r="GW164" s="1708"/>
      <c r="GX164" s="1708"/>
      <c r="GY164" s="1708"/>
      <c r="GZ164" s="1708"/>
      <c r="HA164" s="1708"/>
      <c r="HB164" s="1708"/>
      <c r="HC164" s="1708"/>
      <c r="HD164" s="1708"/>
      <c r="HE164" s="1708"/>
      <c r="HF164" s="1708"/>
      <c r="HG164" s="1708"/>
      <c r="HH164" s="1708"/>
      <c r="HI164" s="1708"/>
      <c r="HJ164" s="1708"/>
      <c r="HK164" s="1708"/>
      <c r="HL164" s="1708"/>
      <c r="HM164" s="1708"/>
      <c r="HN164" s="1708"/>
      <c r="HO164" s="1708"/>
      <c r="HP164" s="1708"/>
      <c r="HQ164" s="1708"/>
      <c r="HR164" s="1708"/>
      <c r="HS164" s="1708"/>
      <c r="HT164" s="1708"/>
      <c r="HU164" s="1708"/>
      <c r="HV164" s="1708"/>
      <c r="HW164" s="1708"/>
      <c r="HX164" s="1708"/>
      <c r="HY164" s="1708"/>
      <c r="HZ164" s="1708"/>
      <c r="IA164" s="1708"/>
      <c r="IB164" s="1708"/>
      <c r="IC164" s="1708"/>
      <c r="ID164" s="1708"/>
      <c r="IE164" s="1708"/>
      <c r="IF164" s="1708"/>
      <c r="IG164" s="1708"/>
      <c r="IH164" s="1708"/>
      <c r="II164" s="1708"/>
      <c r="IJ164" s="1708"/>
      <c r="IK164" s="1708"/>
      <c r="IL164" s="1708"/>
      <c r="IM164" s="1708"/>
      <c r="IN164" s="1708"/>
      <c r="IO164" s="1708"/>
      <c r="IP164" s="1708"/>
      <c r="IQ164" s="1708"/>
      <c r="IR164" s="1708"/>
      <c r="IS164" s="1708"/>
      <c r="IT164" s="1708"/>
      <c r="IU164" s="1708"/>
      <c r="IV164" s="1708"/>
    </row>
    <row r="165" spans="2:256" s="57" customFormat="1" x14ac:dyDescent="0.25">
      <c r="B165" s="1836"/>
      <c r="G165" s="1849"/>
      <c r="J165" s="1850"/>
      <c r="K165" s="1850"/>
      <c r="S165" s="1708"/>
      <c r="T165" s="1708"/>
      <c r="U165" s="1708"/>
      <c r="V165" s="1708"/>
      <c r="W165" s="1708"/>
      <c r="X165" s="1708"/>
      <c r="Y165" s="1708"/>
      <c r="Z165" s="1708"/>
      <c r="AA165" s="1708"/>
      <c r="AB165" s="1708"/>
      <c r="AC165" s="1708"/>
      <c r="AD165" s="1708"/>
      <c r="AE165" s="1708"/>
      <c r="AF165" s="1708"/>
      <c r="AG165" s="1708"/>
      <c r="AH165" s="1708"/>
      <c r="AI165" s="1708"/>
      <c r="AJ165" s="1708"/>
      <c r="AK165" s="1708"/>
      <c r="AL165" s="1708"/>
      <c r="AM165" s="1708"/>
      <c r="AN165" s="1708"/>
      <c r="AO165" s="1708"/>
      <c r="AP165" s="1708"/>
      <c r="AQ165" s="1708"/>
      <c r="AR165" s="1708"/>
      <c r="AS165" s="1708"/>
      <c r="AT165" s="1708"/>
      <c r="AU165" s="1708"/>
      <c r="AV165" s="1708"/>
      <c r="AW165" s="1708"/>
      <c r="AX165" s="1708"/>
      <c r="AY165" s="1708"/>
      <c r="AZ165" s="1708"/>
      <c r="BA165" s="1708"/>
      <c r="BB165" s="1708"/>
      <c r="BC165" s="1708"/>
      <c r="BD165" s="1708"/>
      <c r="BE165" s="1708"/>
      <c r="BF165" s="1708"/>
      <c r="BG165" s="1708"/>
      <c r="BH165" s="1708"/>
      <c r="BI165" s="1708"/>
      <c r="BJ165" s="1708"/>
      <c r="BK165" s="1708"/>
      <c r="BL165" s="1708"/>
      <c r="BM165" s="1708"/>
      <c r="BN165" s="1708"/>
      <c r="BO165" s="1708"/>
      <c r="BP165" s="1708"/>
      <c r="BQ165" s="1708"/>
      <c r="BR165" s="1708"/>
      <c r="BS165" s="1708"/>
      <c r="BT165" s="1708"/>
      <c r="BU165" s="1708"/>
      <c r="BV165" s="1708"/>
      <c r="BW165" s="1708"/>
      <c r="BX165" s="1708"/>
      <c r="BY165" s="1708"/>
      <c r="BZ165" s="1708"/>
      <c r="CA165" s="1708"/>
      <c r="CB165" s="1708"/>
      <c r="CC165" s="1708"/>
      <c r="CD165" s="1708"/>
      <c r="CE165" s="1708"/>
      <c r="CF165" s="1708"/>
      <c r="CG165" s="1708"/>
      <c r="CH165" s="1708"/>
      <c r="CI165" s="1708"/>
      <c r="CJ165" s="1708"/>
      <c r="CK165" s="1708"/>
      <c r="CL165" s="1708"/>
      <c r="CM165" s="1708"/>
      <c r="CN165" s="1708"/>
      <c r="CO165" s="1708"/>
      <c r="CP165" s="1708"/>
      <c r="CQ165" s="1708"/>
      <c r="CR165" s="1708"/>
      <c r="CS165" s="1708"/>
      <c r="CT165" s="1708"/>
      <c r="CU165" s="1708"/>
      <c r="CV165" s="1708"/>
      <c r="CW165" s="1708"/>
      <c r="CX165" s="1708"/>
      <c r="CY165" s="1708"/>
      <c r="CZ165" s="1708"/>
      <c r="DA165" s="1708"/>
      <c r="DB165" s="1708"/>
      <c r="DC165" s="1708"/>
      <c r="DD165" s="1708"/>
      <c r="DE165" s="1708"/>
      <c r="DF165" s="1708"/>
      <c r="DG165" s="1708"/>
      <c r="DH165" s="1708"/>
      <c r="DI165" s="1708"/>
      <c r="DJ165" s="1708"/>
      <c r="DK165" s="1708"/>
      <c r="DL165" s="1708"/>
      <c r="DM165" s="1708"/>
      <c r="DN165" s="1708"/>
      <c r="DO165" s="1708"/>
      <c r="DP165" s="1708"/>
      <c r="DQ165" s="1708"/>
      <c r="DR165" s="1708"/>
      <c r="DS165" s="1708"/>
      <c r="DT165" s="1708"/>
      <c r="DU165" s="1708"/>
      <c r="DV165" s="1708"/>
      <c r="DW165" s="1708"/>
      <c r="DX165" s="1708"/>
      <c r="DY165" s="1708"/>
      <c r="DZ165" s="1708"/>
      <c r="EA165" s="1708"/>
      <c r="EB165" s="1708"/>
      <c r="EC165" s="1708"/>
      <c r="ED165" s="1708"/>
      <c r="EE165" s="1708"/>
      <c r="EF165" s="1708"/>
      <c r="EG165" s="1708"/>
      <c r="EH165" s="1708"/>
      <c r="EI165" s="1708"/>
      <c r="EJ165" s="1708"/>
      <c r="EK165" s="1708"/>
      <c r="EL165" s="1708"/>
      <c r="EM165" s="1708"/>
      <c r="EN165" s="1708"/>
      <c r="EO165" s="1708"/>
      <c r="EP165" s="1708"/>
      <c r="EQ165" s="1708"/>
      <c r="ER165" s="1708"/>
      <c r="ES165" s="1708"/>
      <c r="ET165" s="1708"/>
      <c r="EU165" s="1708"/>
      <c r="EV165" s="1708"/>
      <c r="EW165" s="1708"/>
      <c r="EX165" s="1708"/>
      <c r="EY165" s="1708"/>
      <c r="EZ165" s="1708"/>
      <c r="FA165" s="1708"/>
      <c r="FB165" s="1708"/>
      <c r="FC165" s="1708"/>
      <c r="FD165" s="1708"/>
      <c r="FE165" s="1708"/>
      <c r="FF165" s="1708"/>
      <c r="FG165" s="1708"/>
      <c r="FH165" s="1708"/>
      <c r="FI165" s="1708"/>
      <c r="FJ165" s="1708"/>
      <c r="FK165" s="1708"/>
      <c r="FL165" s="1708"/>
      <c r="FM165" s="1708"/>
      <c r="FN165" s="1708"/>
      <c r="FO165" s="1708"/>
      <c r="FP165" s="1708"/>
      <c r="FQ165" s="1708"/>
      <c r="FR165" s="1708"/>
      <c r="FS165" s="1708"/>
      <c r="FT165" s="1708"/>
      <c r="FU165" s="1708"/>
      <c r="FV165" s="1708"/>
      <c r="FW165" s="1708"/>
      <c r="FX165" s="1708"/>
      <c r="FY165" s="1708"/>
      <c r="FZ165" s="1708"/>
      <c r="GA165" s="1708"/>
      <c r="GB165" s="1708"/>
      <c r="GC165" s="1708"/>
      <c r="GD165" s="1708"/>
      <c r="GE165" s="1708"/>
      <c r="GF165" s="1708"/>
      <c r="GG165" s="1708"/>
      <c r="GH165" s="1708"/>
      <c r="GI165" s="1708"/>
      <c r="GJ165" s="1708"/>
      <c r="GK165" s="1708"/>
      <c r="GL165" s="1708"/>
      <c r="GM165" s="1708"/>
      <c r="GN165" s="1708"/>
      <c r="GO165" s="1708"/>
      <c r="GP165" s="1708"/>
      <c r="GQ165" s="1708"/>
      <c r="GR165" s="1708"/>
      <c r="GS165" s="1708"/>
      <c r="GT165" s="1708"/>
      <c r="GU165" s="1708"/>
      <c r="GV165" s="1708"/>
      <c r="GW165" s="1708"/>
      <c r="GX165" s="1708"/>
      <c r="GY165" s="1708"/>
      <c r="GZ165" s="1708"/>
      <c r="HA165" s="1708"/>
      <c r="HB165" s="1708"/>
      <c r="HC165" s="1708"/>
      <c r="HD165" s="1708"/>
      <c r="HE165" s="1708"/>
      <c r="HF165" s="1708"/>
      <c r="HG165" s="1708"/>
      <c r="HH165" s="1708"/>
      <c r="HI165" s="1708"/>
      <c r="HJ165" s="1708"/>
      <c r="HK165" s="1708"/>
      <c r="HL165" s="1708"/>
      <c r="HM165" s="1708"/>
      <c r="HN165" s="1708"/>
      <c r="HO165" s="1708"/>
      <c r="HP165" s="1708"/>
      <c r="HQ165" s="1708"/>
      <c r="HR165" s="1708"/>
      <c r="HS165" s="1708"/>
      <c r="HT165" s="1708"/>
      <c r="HU165" s="1708"/>
      <c r="HV165" s="1708"/>
      <c r="HW165" s="1708"/>
      <c r="HX165" s="1708"/>
      <c r="HY165" s="1708"/>
      <c r="HZ165" s="1708"/>
      <c r="IA165" s="1708"/>
      <c r="IB165" s="1708"/>
      <c r="IC165" s="1708"/>
      <c r="ID165" s="1708"/>
      <c r="IE165" s="1708"/>
      <c r="IF165" s="1708"/>
      <c r="IG165" s="1708"/>
      <c r="IH165" s="1708"/>
      <c r="II165" s="1708"/>
      <c r="IJ165" s="1708"/>
      <c r="IK165" s="1708"/>
      <c r="IL165" s="1708"/>
      <c r="IM165" s="1708"/>
      <c r="IN165" s="1708"/>
      <c r="IO165" s="1708"/>
      <c r="IP165" s="1708"/>
      <c r="IQ165" s="1708"/>
      <c r="IR165" s="1708"/>
      <c r="IS165" s="1708"/>
      <c r="IT165" s="1708"/>
      <c r="IU165" s="1708"/>
      <c r="IV165" s="1708"/>
    </row>
    <row r="166" spans="2:256" s="57" customFormat="1" x14ac:dyDescent="0.25">
      <c r="B166" s="1836"/>
      <c r="G166" s="1849"/>
      <c r="J166" s="1850"/>
      <c r="K166" s="1850"/>
      <c r="S166" s="1708"/>
      <c r="T166" s="1708"/>
      <c r="U166" s="1708"/>
      <c r="V166" s="1708"/>
      <c r="W166" s="1708"/>
      <c r="X166" s="1708"/>
      <c r="Y166" s="1708"/>
      <c r="Z166" s="1708"/>
      <c r="AA166" s="1708"/>
      <c r="AB166" s="1708"/>
      <c r="AC166" s="1708"/>
      <c r="AD166" s="1708"/>
      <c r="AE166" s="1708"/>
      <c r="AF166" s="1708"/>
      <c r="AG166" s="1708"/>
      <c r="AH166" s="1708"/>
      <c r="AI166" s="1708"/>
      <c r="AJ166" s="1708"/>
      <c r="AK166" s="1708"/>
      <c r="AL166" s="1708"/>
      <c r="AM166" s="1708"/>
      <c r="AN166" s="1708"/>
      <c r="AO166" s="1708"/>
      <c r="AP166" s="1708"/>
      <c r="AQ166" s="1708"/>
      <c r="AR166" s="1708"/>
      <c r="AS166" s="1708"/>
      <c r="AT166" s="1708"/>
      <c r="AU166" s="1708"/>
      <c r="AV166" s="1708"/>
      <c r="AW166" s="1708"/>
      <c r="AX166" s="1708"/>
      <c r="AY166" s="1708"/>
      <c r="AZ166" s="1708"/>
      <c r="BA166" s="1708"/>
      <c r="BB166" s="1708"/>
      <c r="BC166" s="1708"/>
      <c r="BD166" s="1708"/>
      <c r="BE166" s="1708"/>
      <c r="BF166" s="1708"/>
      <c r="BG166" s="1708"/>
      <c r="BH166" s="1708"/>
      <c r="BI166" s="1708"/>
      <c r="BJ166" s="1708"/>
      <c r="BK166" s="1708"/>
      <c r="BL166" s="1708"/>
      <c r="BM166" s="1708"/>
      <c r="BN166" s="1708"/>
      <c r="BO166" s="1708"/>
      <c r="BP166" s="1708"/>
      <c r="BQ166" s="1708"/>
      <c r="BR166" s="1708"/>
      <c r="BS166" s="1708"/>
      <c r="BT166" s="1708"/>
      <c r="BU166" s="1708"/>
      <c r="BV166" s="1708"/>
      <c r="BW166" s="1708"/>
      <c r="BX166" s="1708"/>
      <c r="BY166" s="1708"/>
      <c r="BZ166" s="1708"/>
      <c r="CA166" s="1708"/>
      <c r="CB166" s="1708"/>
      <c r="CC166" s="1708"/>
      <c r="CD166" s="1708"/>
      <c r="CE166" s="1708"/>
      <c r="CF166" s="1708"/>
      <c r="CG166" s="1708"/>
      <c r="CH166" s="1708"/>
      <c r="CI166" s="1708"/>
      <c r="CJ166" s="1708"/>
      <c r="CK166" s="1708"/>
      <c r="CL166" s="1708"/>
      <c r="CM166" s="1708"/>
      <c r="CN166" s="1708"/>
      <c r="CO166" s="1708"/>
      <c r="CP166" s="1708"/>
      <c r="CQ166" s="1708"/>
      <c r="CR166" s="1708"/>
      <c r="CS166" s="1708"/>
      <c r="CT166" s="1708"/>
      <c r="CU166" s="1708"/>
      <c r="CV166" s="1708"/>
      <c r="CW166" s="1708"/>
      <c r="CX166" s="1708"/>
      <c r="CY166" s="1708"/>
      <c r="CZ166" s="1708"/>
      <c r="DA166" s="1708"/>
      <c r="DB166" s="1708"/>
      <c r="DC166" s="1708"/>
      <c r="DD166" s="1708"/>
      <c r="DE166" s="1708"/>
      <c r="DF166" s="1708"/>
      <c r="DG166" s="1708"/>
      <c r="DH166" s="1708"/>
      <c r="DI166" s="1708"/>
      <c r="DJ166" s="1708"/>
      <c r="DK166" s="1708"/>
      <c r="DL166" s="1708"/>
      <c r="DM166" s="1708"/>
      <c r="DN166" s="1708"/>
      <c r="DO166" s="1708"/>
      <c r="DP166" s="1708"/>
      <c r="DQ166" s="1708"/>
      <c r="DR166" s="1708"/>
      <c r="DS166" s="1708"/>
      <c r="DT166" s="1708"/>
      <c r="DU166" s="1708"/>
      <c r="DV166" s="1708"/>
      <c r="DW166" s="1708"/>
      <c r="DX166" s="1708"/>
      <c r="DY166" s="1708"/>
      <c r="DZ166" s="1708"/>
      <c r="EA166" s="1708"/>
      <c r="EB166" s="1708"/>
      <c r="EC166" s="1708"/>
      <c r="ED166" s="1708"/>
      <c r="EE166" s="1708"/>
      <c r="EF166" s="1708"/>
      <c r="EG166" s="1708"/>
      <c r="EH166" s="1708"/>
      <c r="EI166" s="1708"/>
      <c r="EJ166" s="1708"/>
      <c r="EK166" s="1708"/>
      <c r="EL166" s="1708"/>
      <c r="EM166" s="1708"/>
      <c r="EN166" s="1708"/>
      <c r="EO166" s="1708"/>
      <c r="EP166" s="1708"/>
      <c r="EQ166" s="1708"/>
      <c r="ER166" s="1708"/>
      <c r="ES166" s="1708"/>
      <c r="ET166" s="1708"/>
      <c r="EU166" s="1708"/>
      <c r="EV166" s="1708"/>
      <c r="EW166" s="1708"/>
      <c r="EX166" s="1708"/>
      <c r="EY166" s="1708"/>
      <c r="EZ166" s="1708"/>
      <c r="FA166" s="1708"/>
      <c r="FB166" s="1708"/>
      <c r="FC166" s="1708"/>
      <c r="FD166" s="1708"/>
      <c r="FE166" s="1708"/>
      <c r="FF166" s="1708"/>
      <c r="FG166" s="1708"/>
      <c r="FH166" s="1708"/>
      <c r="FI166" s="1708"/>
      <c r="FJ166" s="1708"/>
      <c r="FK166" s="1708"/>
      <c r="FL166" s="1708"/>
      <c r="FM166" s="1708"/>
      <c r="FN166" s="1708"/>
      <c r="FO166" s="1708"/>
      <c r="FP166" s="1708"/>
      <c r="FQ166" s="1708"/>
      <c r="FR166" s="1708"/>
      <c r="FS166" s="1708"/>
      <c r="FT166" s="1708"/>
      <c r="FU166" s="1708"/>
      <c r="FV166" s="1708"/>
      <c r="FW166" s="1708"/>
      <c r="FX166" s="1708"/>
      <c r="FY166" s="1708"/>
      <c r="FZ166" s="1708"/>
      <c r="GA166" s="1708"/>
      <c r="GB166" s="1708"/>
      <c r="GC166" s="1708"/>
      <c r="GD166" s="1708"/>
      <c r="GE166" s="1708"/>
      <c r="GF166" s="1708"/>
      <c r="GG166" s="1708"/>
      <c r="GH166" s="1708"/>
      <c r="GI166" s="1708"/>
      <c r="GJ166" s="1708"/>
      <c r="GK166" s="1708"/>
      <c r="GL166" s="1708"/>
      <c r="GM166" s="1708"/>
      <c r="GN166" s="1708"/>
      <c r="GO166" s="1708"/>
      <c r="GP166" s="1708"/>
      <c r="GQ166" s="1708"/>
      <c r="GR166" s="1708"/>
      <c r="GS166" s="1708"/>
      <c r="GT166" s="1708"/>
      <c r="GU166" s="1708"/>
      <c r="GV166" s="1708"/>
      <c r="GW166" s="1708"/>
      <c r="GX166" s="1708"/>
      <c r="GY166" s="1708"/>
      <c r="GZ166" s="1708"/>
      <c r="HA166" s="1708"/>
      <c r="HB166" s="1708"/>
      <c r="HC166" s="1708"/>
      <c r="HD166" s="1708"/>
      <c r="HE166" s="1708"/>
      <c r="HF166" s="1708"/>
      <c r="HG166" s="1708"/>
      <c r="HH166" s="1708"/>
      <c r="HI166" s="1708"/>
      <c r="HJ166" s="1708"/>
      <c r="HK166" s="1708"/>
      <c r="HL166" s="1708"/>
      <c r="HM166" s="1708"/>
      <c r="HN166" s="1708"/>
      <c r="HO166" s="1708"/>
      <c r="HP166" s="1708"/>
      <c r="HQ166" s="1708"/>
      <c r="HR166" s="1708"/>
      <c r="HS166" s="1708"/>
      <c r="HT166" s="1708"/>
      <c r="HU166" s="1708"/>
      <c r="HV166" s="1708"/>
      <c r="HW166" s="1708"/>
      <c r="HX166" s="1708"/>
      <c r="HY166" s="1708"/>
      <c r="HZ166" s="1708"/>
      <c r="IA166" s="1708"/>
      <c r="IB166" s="1708"/>
      <c r="IC166" s="1708"/>
      <c r="ID166" s="1708"/>
      <c r="IE166" s="1708"/>
      <c r="IF166" s="1708"/>
      <c r="IG166" s="1708"/>
      <c r="IH166" s="1708"/>
      <c r="II166" s="1708"/>
      <c r="IJ166" s="1708"/>
      <c r="IK166" s="1708"/>
      <c r="IL166" s="1708"/>
      <c r="IM166" s="1708"/>
      <c r="IN166" s="1708"/>
      <c r="IO166" s="1708"/>
      <c r="IP166" s="1708"/>
      <c r="IQ166" s="1708"/>
      <c r="IR166" s="1708"/>
      <c r="IS166" s="1708"/>
      <c r="IT166" s="1708"/>
      <c r="IU166" s="1708"/>
      <c r="IV166" s="1708"/>
    </row>
    <row r="167" spans="2:256" s="57" customFormat="1" x14ac:dyDescent="0.25">
      <c r="B167" s="1836"/>
      <c r="G167" s="1849"/>
      <c r="J167" s="1850"/>
      <c r="K167" s="1850"/>
      <c r="S167" s="1708"/>
      <c r="T167" s="1708"/>
      <c r="U167" s="1708"/>
      <c r="V167" s="1708"/>
      <c r="W167" s="1708"/>
      <c r="X167" s="1708"/>
      <c r="Y167" s="1708"/>
      <c r="Z167" s="1708"/>
      <c r="AA167" s="1708"/>
      <c r="AB167" s="1708"/>
      <c r="AC167" s="1708"/>
      <c r="AD167" s="1708"/>
      <c r="AE167" s="1708"/>
      <c r="AF167" s="1708"/>
      <c r="AG167" s="1708"/>
      <c r="AH167" s="1708"/>
      <c r="AI167" s="1708"/>
      <c r="AJ167" s="1708"/>
      <c r="AK167" s="1708"/>
      <c r="AL167" s="1708"/>
      <c r="AM167" s="1708"/>
      <c r="AN167" s="1708"/>
      <c r="AO167" s="1708"/>
      <c r="AP167" s="1708"/>
      <c r="AQ167" s="1708"/>
      <c r="AR167" s="1708"/>
      <c r="AS167" s="1708"/>
      <c r="AT167" s="1708"/>
      <c r="AU167" s="1708"/>
      <c r="AV167" s="1708"/>
      <c r="AW167" s="1708"/>
      <c r="AX167" s="1708"/>
      <c r="AY167" s="1708"/>
      <c r="AZ167" s="1708"/>
      <c r="BA167" s="1708"/>
      <c r="BB167" s="1708"/>
      <c r="BC167" s="1708"/>
      <c r="BD167" s="1708"/>
      <c r="BE167" s="1708"/>
      <c r="BF167" s="1708"/>
      <c r="BG167" s="1708"/>
      <c r="BH167" s="1708"/>
      <c r="BI167" s="1708"/>
      <c r="BJ167" s="1708"/>
      <c r="BK167" s="1708"/>
      <c r="BL167" s="1708"/>
      <c r="BM167" s="1708"/>
      <c r="BN167" s="1708"/>
      <c r="BO167" s="1708"/>
      <c r="BP167" s="1708"/>
      <c r="BQ167" s="1708"/>
      <c r="BR167" s="1708"/>
      <c r="BS167" s="1708"/>
      <c r="BT167" s="1708"/>
      <c r="BU167" s="1708"/>
      <c r="BV167" s="1708"/>
      <c r="BW167" s="1708"/>
      <c r="BX167" s="1708"/>
      <c r="BY167" s="1708"/>
      <c r="BZ167" s="1708"/>
      <c r="CA167" s="1708"/>
      <c r="CB167" s="1708"/>
      <c r="CC167" s="1708"/>
      <c r="CD167" s="1708"/>
      <c r="CE167" s="1708"/>
      <c r="CF167" s="1708"/>
      <c r="CG167" s="1708"/>
      <c r="CH167" s="1708"/>
      <c r="CI167" s="1708"/>
      <c r="CJ167" s="1708"/>
      <c r="CK167" s="1708"/>
      <c r="CL167" s="1708"/>
      <c r="CM167" s="1708"/>
      <c r="CN167" s="1708"/>
      <c r="CO167" s="1708"/>
      <c r="CP167" s="1708"/>
      <c r="CQ167" s="1708"/>
      <c r="CR167" s="1708"/>
      <c r="CS167" s="1708"/>
      <c r="CT167" s="1708"/>
      <c r="CU167" s="1708"/>
      <c r="CV167" s="1708"/>
      <c r="CW167" s="1708"/>
      <c r="CX167" s="1708"/>
      <c r="CY167" s="1708"/>
      <c r="CZ167" s="1708"/>
      <c r="DA167" s="1708"/>
      <c r="DB167" s="1708"/>
      <c r="DC167" s="1708"/>
      <c r="DD167" s="1708"/>
      <c r="DE167" s="1708"/>
      <c r="DF167" s="1708"/>
      <c r="DG167" s="1708"/>
      <c r="DH167" s="1708"/>
      <c r="DI167" s="1708"/>
      <c r="DJ167" s="1708"/>
      <c r="DK167" s="1708"/>
      <c r="DL167" s="1708"/>
      <c r="DM167" s="1708"/>
      <c r="DN167" s="1708"/>
      <c r="DO167" s="1708"/>
      <c r="DP167" s="1708"/>
      <c r="DQ167" s="1708"/>
      <c r="DR167" s="1708"/>
      <c r="DS167" s="1708"/>
      <c r="DT167" s="1708"/>
      <c r="DU167" s="1708"/>
      <c r="DV167" s="1708"/>
      <c r="DW167" s="1708"/>
      <c r="DX167" s="1708"/>
      <c r="DY167" s="1708"/>
      <c r="DZ167" s="1708"/>
      <c r="EA167" s="1708"/>
      <c r="EB167" s="1708"/>
      <c r="EC167" s="1708"/>
      <c r="ED167" s="1708"/>
      <c r="EE167" s="1708"/>
      <c r="EF167" s="1708"/>
      <c r="EG167" s="1708"/>
      <c r="EH167" s="1708"/>
      <c r="EI167" s="1708"/>
      <c r="EJ167" s="1708"/>
      <c r="EK167" s="1708"/>
      <c r="EL167" s="1708"/>
      <c r="EM167" s="1708"/>
      <c r="EN167" s="1708"/>
      <c r="EO167" s="1708"/>
      <c r="EP167" s="1708"/>
      <c r="EQ167" s="1708"/>
      <c r="ER167" s="1708"/>
      <c r="ES167" s="1708"/>
      <c r="ET167" s="1708"/>
      <c r="EU167" s="1708"/>
      <c r="EV167" s="1708"/>
      <c r="EW167" s="1708"/>
      <c r="EX167" s="1708"/>
      <c r="EY167" s="1708"/>
      <c r="EZ167" s="1708"/>
      <c r="FA167" s="1708"/>
      <c r="FB167" s="1708"/>
      <c r="FC167" s="1708"/>
      <c r="FD167" s="1708"/>
      <c r="FE167" s="1708"/>
      <c r="FF167" s="1708"/>
      <c r="FG167" s="1708"/>
      <c r="FH167" s="1708"/>
      <c r="FI167" s="1708"/>
      <c r="FJ167" s="1708"/>
      <c r="FK167" s="1708"/>
      <c r="FL167" s="1708"/>
      <c r="FM167" s="1708"/>
      <c r="FN167" s="1708"/>
      <c r="FO167" s="1708"/>
      <c r="FP167" s="1708"/>
      <c r="FQ167" s="1708"/>
      <c r="FR167" s="1708"/>
      <c r="FS167" s="1708"/>
      <c r="FT167" s="1708"/>
      <c r="FU167" s="1708"/>
      <c r="FV167" s="1708"/>
      <c r="FW167" s="1708"/>
      <c r="FX167" s="1708"/>
      <c r="FY167" s="1708"/>
      <c r="FZ167" s="1708"/>
      <c r="GA167" s="1708"/>
      <c r="GB167" s="1708"/>
      <c r="GC167" s="1708"/>
      <c r="GD167" s="1708"/>
      <c r="GE167" s="1708"/>
      <c r="GF167" s="1708"/>
      <c r="GG167" s="1708"/>
      <c r="GH167" s="1708"/>
      <c r="GI167" s="1708"/>
      <c r="GJ167" s="1708"/>
      <c r="GK167" s="1708"/>
      <c r="GL167" s="1708"/>
      <c r="GM167" s="1708"/>
      <c r="GN167" s="1708"/>
      <c r="GO167" s="1708"/>
      <c r="GP167" s="1708"/>
      <c r="GQ167" s="1708"/>
      <c r="GR167" s="1708"/>
      <c r="GS167" s="1708"/>
      <c r="GT167" s="1708"/>
      <c r="GU167" s="1708"/>
      <c r="GV167" s="1708"/>
      <c r="GW167" s="1708"/>
      <c r="GX167" s="1708"/>
      <c r="GY167" s="1708"/>
      <c r="GZ167" s="1708"/>
      <c r="HA167" s="1708"/>
      <c r="HB167" s="1708"/>
      <c r="HC167" s="1708"/>
      <c r="HD167" s="1708"/>
      <c r="HE167" s="1708"/>
      <c r="HF167" s="1708"/>
      <c r="HG167" s="1708"/>
      <c r="HH167" s="1708"/>
      <c r="HI167" s="1708"/>
      <c r="HJ167" s="1708"/>
      <c r="HK167" s="1708"/>
      <c r="HL167" s="1708"/>
      <c r="HM167" s="1708"/>
      <c r="HN167" s="1708"/>
      <c r="HO167" s="1708"/>
      <c r="HP167" s="1708"/>
      <c r="HQ167" s="1708"/>
      <c r="HR167" s="1708"/>
      <c r="HS167" s="1708"/>
      <c r="HT167" s="1708"/>
      <c r="HU167" s="1708"/>
      <c r="HV167" s="1708"/>
      <c r="HW167" s="1708"/>
      <c r="HX167" s="1708"/>
      <c r="HY167" s="1708"/>
      <c r="HZ167" s="1708"/>
      <c r="IA167" s="1708"/>
      <c r="IB167" s="1708"/>
      <c r="IC167" s="1708"/>
      <c r="ID167" s="1708"/>
      <c r="IE167" s="1708"/>
      <c r="IF167" s="1708"/>
      <c r="IG167" s="1708"/>
      <c r="IH167" s="1708"/>
      <c r="II167" s="1708"/>
      <c r="IJ167" s="1708"/>
      <c r="IK167" s="1708"/>
      <c r="IL167" s="1708"/>
      <c r="IM167" s="1708"/>
      <c r="IN167" s="1708"/>
      <c r="IO167" s="1708"/>
      <c r="IP167" s="1708"/>
      <c r="IQ167" s="1708"/>
      <c r="IR167" s="1708"/>
      <c r="IS167" s="1708"/>
      <c r="IT167" s="1708"/>
      <c r="IU167" s="1708"/>
      <c r="IV167" s="1708"/>
    </row>
    <row r="168" spans="2:256" s="57" customFormat="1" x14ac:dyDescent="0.25">
      <c r="B168" s="1836"/>
      <c r="G168" s="1849"/>
      <c r="J168" s="1850"/>
      <c r="K168" s="1850"/>
      <c r="S168" s="1708"/>
      <c r="T168" s="1708"/>
      <c r="U168" s="1708"/>
      <c r="V168" s="1708"/>
      <c r="W168" s="1708"/>
      <c r="X168" s="1708"/>
      <c r="Y168" s="1708"/>
      <c r="Z168" s="1708"/>
      <c r="AA168" s="1708"/>
      <c r="AB168" s="1708"/>
      <c r="AC168" s="1708"/>
      <c r="AD168" s="1708"/>
      <c r="AE168" s="1708"/>
      <c r="AF168" s="1708"/>
      <c r="AG168" s="1708"/>
      <c r="AH168" s="1708"/>
      <c r="AI168" s="1708"/>
      <c r="AJ168" s="1708"/>
      <c r="AK168" s="1708"/>
      <c r="AL168" s="1708"/>
      <c r="AM168" s="1708"/>
      <c r="AN168" s="1708"/>
      <c r="AO168" s="1708"/>
      <c r="AP168" s="1708"/>
      <c r="AQ168" s="1708"/>
      <c r="AR168" s="1708"/>
      <c r="AS168" s="1708"/>
      <c r="AT168" s="1708"/>
      <c r="AU168" s="1708"/>
      <c r="AV168" s="1708"/>
      <c r="AW168" s="1708"/>
      <c r="AX168" s="1708"/>
      <c r="AY168" s="1708"/>
      <c r="AZ168" s="1708"/>
      <c r="BA168" s="1708"/>
      <c r="BB168" s="1708"/>
      <c r="BC168" s="1708"/>
      <c r="BD168" s="1708"/>
      <c r="BE168" s="1708"/>
      <c r="BF168" s="1708"/>
      <c r="BG168" s="1708"/>
      <c r="BH168" s="1708"/>
      <c r="BI168" s="1708"/>
      <c r="BJ168" s="1708"/>
      <c r="BK168" s="1708"/>
      <c r="BL168" s="1708"/>
      <c r="BM168" s="1708"/>
      <c r="BN168" s="1708"/>
      <c r="BO168" s="1708"/>
      <c r="BP168" s="1708"/>
      <c r="BQ168" s="1708"/>
      <c r="BR168" s="1708"/>
      <c r="BS168" s="1708"/>
      <c r="BT168" s="1708"/>
      <c r="BU168" s="1708"/>
      <c r="BV168" s="1708"/>
      <c r="BW168" s="1708"/>
      <c r="BX168" s="1708"/>
      <c r="BY168" s="1708"/>
      <c r="BZ168" s="1708"/>
      <c r="CA168" s="1708"/>
      <c r="CB168" s="1708"/>
      <c r="CC168" s="1708"/>
      <c r="CD168" s="1708"/>
      <c r="CE168" s="1708"/>
      <c r="CF168" s="1708"/>
      <c r="CG168" s="1708"/>
      <c r="CH168" s="1708"/>
      <c r="CI168" s="1708"/>
      <c r="CJ168" s="1708"/>
      <c r="CK168" s="1708"/>
      <c r="CL168" s="1708"/>
      <c r="CM168" s="1708"/>
      <c r="CN168" s="1708"/>
      <c r="CO168" s="1708"/>
      <c r="CP168" s="1708"/>
      <c r="CQ168" s="1708"/>
      <c r="CR168" s="1708"/>
      <c r="CS168" s="1708"/>
      <c r="CT168" s="1708"/>
      <c r="CU168" s="1708"/>
      <c r="CV168" s="1708"/>
      <c r="CW168" s="1708"/>
      <c r="CX168" s="1708"/>
      <c r="CY168" s="1708"/>
      <c r="CZ168" s="1708"/>
      <c r="DA168" s="1708"/>
      <c r="DB168" s="1708"/>
      <c r="DC168" s="1708"/>
      <c r="DD168" s="1708"/>
      <c r="DE168" s="1708"/>
      <c r="DF168" s="1708"/>
      <c r="DG168" s="1708"/>
      <c r="DH168" s="1708"/>
      <c r="DI168" s="1708"/>
      <c r="DJ168" s="1708"/>
      <c r="DK168" s="1708"/>
      <c r="DL168" s="1708"/>
      <c r="DM168" s="1708"/>
      <c r="DN168" s="1708"/>
      <c r="DO168" s="1708"/>
      <c r="DP168" s="1708"/>
      <c r="DQ168" s="1708"/>
      <c r="DR168" s="1708"/>
      <c r="DS168" s="1708"/>
      <c r="DT168" s="1708"/>
      <c r="DU168" s="1708"/>
      <c r="DV168" s="1708"/>
      <c r="DW168" s="1708"/>
      <c r="DX168" s="1708"/>
      <c r="DY168" s="1708"/>
      <c r="DZ168" s="1708"/>
      <c r="EA168" s="1708"/>
      <c r="EB168" s="1708"/>
      <c r="EC168" s="1708"/>
      <c r="ED168" s="1708"/>
      <c r="EE168" s="1708"/>
      <c r="EF168" s="1708"/>
      <c r="EG168" s="1708"/>
      <c r="EH168" s="1708"/>
      <c r="EI168" s="1708"/>
      <c r="EJ168" s="1708"/>
      <c r="EK168" s="1708"/>
      <c r="EL168" s="1708"/>
      <c r="EM168" s="1708"/>
      <c r="EN168" s="1708"/>
      <c r="EO168" s="1708"/>
      <c r="EP168" s="1708"/>
      <c r="EQ168" s="1708"/>
      <c r="ER168" s="1708"/>
      <c r="ES168" s="1708"/>
      <c r="ET168" s="1708"/>
      <c r="EU168" s="1708"/>
      <c r="EV168" s="1708"/>
      <c r="EW168" s="1708"/>
      <c r="EX168" s="1708"/>
      <c r="EY168" s="1708"/>
      <c r="EZ168" s="1708"/>
      <c r="FA168" s="1708"/>
      <c r="FB168" s="1708"/>
      <c r="FC168" s="1708"/>
      <c r="FD168" s="1708"/>
      <c r="FE168" s="1708"/>
      <c r="FF168" s="1708"/>
      <c r="FG168" s="1708"/>
      <c r="FH168" s="1708"/>
      <c r="FI168" s="1708"/>
      <c r="FJ168" s="1708"/>
      <c r="FK168" s="1708"/>
      <c r="FL168" s="1708"/>
      <c r="FM168" s="1708"/>
      <c r="FN168" s="1708"/>
      <c r="FO168" s="1708"/>
      <c r="FP168" s="1708"/>
      <c r="FQ168" s="1708"/>
      <c r="FR168" s="1708"/>
      <c r="FS168" s="1708"/>
      <c r="FT168" s="1708"/>
      <c r="FU168" s="1708"/>
      <c r="FV168" s="1708"/>
      <c r="FW168" s="1708"/>
      <c r="FX168" s="1708"/>
      <c r="FY168" s="1708"/>
      <c r="FZ168" s="1708"/>
      <c r="GA168" s="1708"/>
      <c r="GB168" s="1708"/>
      <c r="GC168" s="1708"/>
      <c r="GD168" s="1708"/>
      <c r="GE168" s="1708"/>
      <c r="GF168" s="1708"/>
      <c r="GG168" s="1708"/>
      <c r="GH168" s="1708"/>
      <c r="GI168" s="1708"/>
      <c r="GJ168" s="1708"/>
      <c r="GK168" s="1708"/>
      <c r="GL168" s="1708"/>
      <c r="GM168" s="1708"/>
      <c r="GN168" s="1708"/>
      <c r="GO168" s="1708"/>
      <c r="GP168" s="1708"/>
      <c r="GQ168" s="1708"/>
      <c r="GR168" s="1708"/>
      <c r="GS168" s="1708"/>
      <c r="GT168" s="1708"/>
      <c r="GU168" s="1708"/>
      <c r="GV168" s="1708"/>
      <c r="GW168" s="1708"/>
      <c r="GX168" s="1708"/>
      <c r="GY168" s="1708"/>
      <c r="GZ168" s="1708"/>
      <c r="HA168" s="1708"/>
      <c r="HB168" s="1708"/>
      <c r="HC168" s="1708"/>
      <c r="HD168" s="1708"/>
      <c r="HE168" s="1708"/>
      <c r="HF168" s="1708"/>
      <c r="HG168" s="1708"/>
      <c r="HH168" s="1708"/>
      <c r="HI168" s="1708"/>
      <c r="HJ168" s="1708"/>
      <c r="HK168" s="1708"/>
      <c r="HL168" s="1708"/>
      <c r="HM168" s="1708"/>
      <c r="HN168" s="1708"/>
      <c r="HO168" s="1708"/>
      <c r="HP168" s="1708"/>
      <c r="HQ168" s="1708"/>
      <c r="HR168" s="1708"/>
      <c r="HS168" s="1708"/>
      <c r="HT168" s="1708"/>
      <c r="HU168" s="1708"/>
      <c r="HV168" s="1708"/>
      <c r="HW168" s="1708"/>
      <c r="HX168" s="1708"/>
      <c r="HY168" s="1708"/>
      <c r="HZ168" s="1708"/>
      <c r="IA168" s="1708"/>
      <c r="IB168" s="1708"/>
      <c r="IC168" s="1708"/>
      <c r="ID168" s="1708"/>
      <c r="IE168" s="1708"/>
      <c r="IF168" s="1708"/>
      <c r="IG168" s="1708"/>
      <c r="IH168" s="1708"/>
      <c r="II168" s="1708"/>
      <c r="IJ168" s="1708"/>
      <c r="IK168" s="1708"/>
      <c r="IL168" s="1708"/>
      <c r="IM168" s="1708"/>
      <c r="IN168" s="1708"/>
      <c r="IO168" s="1708"/>
      <c r="IP168" s="1708"/>
      <c r="IQ168" s="1708"/>
      <c r="IR168" s="1708"/>
      <c r="IS168" s="1708"/>
      <c r="IT168" s="1708"/>
      <c r="IU168" s="1708"/>
      <c r="IV168" s="1708"/>
    </row>
    <row r="169" spans="2:256" s="57" customFormat="1" x14ac:dyDescent="0.25">
      <c r="B169" s="1836"/>
      <c r="G169" s="1849"/>
      <c r="J169" s="1850"/>
      <c r="K169" s="1850"/>
      <c r="S169" s="1708"/>
      <c r="T169" s="1708"/>
      <c r="U169" s="1708"/>
      <c r="V169" s="1708"/>
      <c r="W169" s="1708"/>
      <c r="X169" s="1708"/>
      <c r="Y169" s="1708"/>
      <c r="Z169" s="1708"/>
      <c r="AA169" s="1708"/>
      <c r="AB169" s="1708"/>
      <c r="AC169" s="1708"/>
      <c r="AD169" s="1708"/>
      <c r="AE169" s="1708"/>
      <c r="AF169" s="1708"/>
      <c r="AG169" s="1708"/>
      <c r="AH169" s="1708"/>
      <c r="AI169" s="1708"/>
      <c r="AJ169" s="1708"/>
      <c r="AK169" s="1708"/>
      <c r="AL169" s="1708"/>
      <c r="AM169" s="1708"/>
      <c r="AN169" s="1708"/>
      <c r="AO169" s="1708"/>
      <c r="AP169" s="1708"/>
      <c r="AQ169" s="1708"/>
      <c r="AR169" s="1708"/>
      <c r="AS169" s="1708"/>
      <c r="AT169" s="1708"/>
      <c r="AU169" s="1708"/>
      <c r="AV169" s="1708"/>
      <c r="AW169" s="1708"/>
      <c r="AX169" s="1708"/>
      <c r="AY169" s="1708"/>
      <c r="AZ169" s="1708"/>
      <c r="BA169" s="1708"/>
      <c r="BB169" s="1708"/>
      <c r="BC169" s="1708"/>
      <c r="BD169" s="1708"/>
      <c r="BE169" s="1708"/>
      <c r="BF169" s="1708"/>
      <c r="BG169" s="1708"/>
      <c r="BH169" s="1708"/>
      <c r="BI169" s="1708"/>
      <c r="BJ169" s="1708"/>
      <c r="BK169" s="1708"/>
      <c r="BL169" s="1708"/>
      <c r="BM169" s="1708"/>
      <c r="BN169" s="1708"/>
      <c r="BO169" s="1708"/>
      <c r="BP169" s="1708"/>
      <c r="BQ169" s="1708"/>
      <c r="BR169" s="1708"/>
      <c r="BS169" s="1708"/>
      <c r="BT169" s="1708"/>
      <c r="BU169" s="1708"/>
      <c r="BV169" s="1708"/>
      <c r="BW169" s="1708"/>
      <c r="BX169" s="1708"/>
      <c r="BY169" s="1708"/>
      <c r="BZ169" s="1708"/>
      <c r="CA169" s="1708"/>
      <c r="CB169" s="1708"/>
      <c r="CC169" s="1708"/>
      <c r="CD169" s="1708"/>
      <c r="CE169" s="1708"/>
      <c r="CF169" s="1708"/>
      <c r="CG169" s="1708"/>
      <c r="CH169" s="1708"/>
      <c r="CI169" s="1708"/>
      <c r="CJ169" s="1708"/>
      <c r="CK169" s="1708"/>
      <c r="CL169" s="1708"/>
      <c r="CM169" s="1708"/>
      <c r="CN169" s="1708"/>
      <c r="CO169" s="1708"/>
      <c r="CP169" s="1708"/>
      <c r="CQ169" s="1708"/>
      <c r="CR169" s="1708"/>
      <c r="CS169" s="1708"/>
      <c r="CT169" s="1708"/>
      <c r="CU169" s="1708"/>
      <c r="CV169" s="1708"/>
      <c r="CW169" s="1708"/>
      <c r="CX169" s="1708"/>
      <c r="CY169" s="1708"/>
      <c r="CZ169" s="1708"/>
      <c r="DA169" s="1708"/>
      <c r="DB169" s="1708"/>
      <c r="DC169" s="1708"/>
      <c r="DD169" s="1708"/>
      <c r="DE169" s="1708"/>
      <c r="DF169" s="1708"/>
      <c r="DG169" s="1708"/>
      <c r="DH169" s="1708"/>
      <c r="DI169" s="1708"/>
      <c r="DJ169" s="1708"/>
      <c r="DK169" s="1708"/>
      <c r="DL169" s="1708"/>
      <c r="DM169" s="1708"/>
      <c r="DN169" s="1708"/>
      <c r="DO169" s="1708"/>
      <c r="DP169" s="1708"/>
      <c r="DQ169" s="1708"/>
      <c r="DR169" s="1708"/>
      <c r="DS169" s="1708"/>
      <c r="DT169" s="1708"/>
      <c r="DU169" s="1708"/>
      <c r="DV169" s="1708"/>
      <c r="DW169" s="1708"/>
      <c r="DX169" s="1708"/>
      <c r="DY169" s="1708"/>
      <c r="DZ169" s="1708"/>
      <c r="EA169" s="1708"/>
      <c r="EB169" s="1708"/>
      <c r="EC169" s="1708"/>
      <c r="ED169" s="1708"/>
      <c r="EE169" s="1708"/>
      <c r="EF169" s="1708"/>
      <c r="EG169" s="1708"/>
      <c r="EH169" s="1708"/>
      <c r="EI169" s="1708"/>
      <c r="EJ169" s="1708"/>
      <c r="EK169" s="1708"/>
      <c r="EL169" s="1708"/>
      <c r="EM169" s="1708"/>
      <c r="EN169" s="1708"/>
      <c r="EO169" s="1708"/>
      <c r="EP169" s="1708"/>
      <c r="EQ169" s="1708"/>
      <c r="ER169" s="1708"/>
      <c r="ES169" s="1708"/>
      <c r="ET169" s="1708"/>
      <c r="EU169" s="1708"/>
      <c r="EV169" s="1708"/>
      <c r="EW169" s="1708"/>
      <c r="EX169" s="1708"/>
      <c r="EY169" s="1708"/>
      <c r="EZ169" s="1708"/>
      <c r="FA169" s="1708"/>
      <c r="FB169" s="1708"/>
      <c r="FC169" s="1708"/>
      <c r="FD169" s="1708"/>
      <c r="FE169" s="1708"/>
      <c r="FF169" s="1708"/>
      <c r="FG169" s="1708"/>
      <c r="FH169" s="1708"/>
      <c r="FI169" s="1708"/>
      <c r="FJ169" s="1708"/>
      <c r="FK169" s="1708"/>
      <c r="FL169" s="1708"/>
      <c r="FM169" s="1708"/>
      <c r="FN169" s="1708"/>
      <c r="FO169" s="1708"/>
      <c r="FP169" s="1708"/>
      <c r="FQ169" s="1708"/>
      <c r="FR169" s="1708"/>
      <c r="FS169" s="1708"/>
      <c r="FT169" s="1708"/>
      <c r="FU169" s="1708"/>
      <c r="FV169" s="1708"/>
      <c r="FW169" s="1708"/>
      <c r="FX169" s="1708"/>
      <c r="FY169" s="1708"/>
      <c r="FZ169" s="1708"/>
      <c r="GA169" s="1708"/>
      <c r="GB169" s="1708"/>
      <c r="GC169" s="1708"/>
      <c r="GD169" s="1708"/>
      <c r="GE169" s="1708"/>
      <c r="GF169" s="1708"/>
      <c r="GG169" s="1708"/>
      <c r="GH169" s="1708"/>
      <c r="GI169" s="1708"/>
      <c r="GJ169" s="1708"/>
      <c r="GK169" s="1708"/>
      <c r="GL169" s="1708"/>
      <c r="GM169" s="1708"/>
      <c r="GN169" s="1708"/>
      <c r="GO169" s="1708"/>
      <c r="GP169" s="1708"/>
      <c r="GQ169" s="1708"/>
      <c r="GR169" s="1708"/>
      <c r="GS169" s="1708"/>
      <c r="GT169" s="1708"/>
      <c r="GU169" s="1708"/>
      <c r="GV169" s="1708"/>
      <c r="GW169" s="1708"/>
      <c r="GX169" s="1708"/>
      <c r="GY169" s="1708"/>
      <c r="GZ169" s="1708"/>
      <c r="HA169" s="1708"/>
      <c r="HB169" s="1708"/>
      <c r="HC169" s="1708"/>
      <c r="HD169" s="1708"/>
      <c r="HE169" s="1708"/>
      <c r="HF169" s="1708"/>
      <c r="HG169" s="1708"/>
      <c r="HH169" s="1708"/>
      <c r="HI169" s="1708"/>
      <c r="HJ169" s="1708"/>
      <c r="HK169" s="1708"/>
      <c r="HL169" s="1708"/>
      <c r="HM169" s="1708"/>
      <c r="HN169" s="1708"/>
      <c r="HO169" s="1708"/>
      <c r="HP169" s="1708"/>
      <c r="HQ169" s="1708"/>
      <c r="HR169" s="1708"/>
      <c r="HS169" s="1708"/>
      <c r="HT169" s="1708"/>
      <c r="HU169" s="1708"/>
      <c r="HV169" s="1708"/>
      <c r="HW169" s="1708"/>
      <c r="HX169" s="1708"/>
      <c r="HY169" s="1708"/>
      <c r="HZ169" s="1708"/>
      <c r="IA169" s="1708"/>
      <c r="IB169" s="1708"/>
      <c r="IC169" s="1708"/>
      <c r="ID169" s="1708"/>
      <c r="IE169" s="1708"/>
      <c r="IF169" s="1708"/>
      <c r="IG169" s="1708"/>
      <c r="IH169" s="1708"/>
      <c r="II169" s="1708"/>
      <c r="IJ169" s="1708"/>
      <c r="IK169" s="1708"/>
      <c r="IL169" s="1708"/>
      <c r="IM169" s="1708"/>
      <c r="IN169" s="1708"/>
      <c r="IO169" s="1708"/>
      <c r="IP169" s="1708"/>
      <c r="IQ169" s="1708"/>
      <c r="IR169" s="1708"/>
      <c r="IS169" s="1708"/>
      <c r="IT169" s="1708"/>
      <c r="IU169" s="1708"/>
      <c r="IV169" s="1708"/>
    </row>
    <row r="170" spans="2:256" s="57" customFormat="1" x14ac:dyDescent="0.25">
      <c r="B170" s="1836"/>
      <c r="G170" s="1849"/>
      <c r="J170" s="1850"/>
      <c r="K170" s="1850"/>
      <c r="S170" s="1708"/>
      <c r="T170" s="1708"/>
      <c r="U170" s="1708"/>
      <c r="V170" s="1708"/>
      <c r="W170" s="1708"/>
      <c r="X170" s="1708"/>
      <c r="Y170" s="1708"/>
      <c r="Z170" s="1708"/>
      <c r="AA170" s="1708"/>
      <c r="AB170" s="1708"/>
      <c r="AC170" s="1708"/>
      <c r="AD170" s="1708"/>
      <c r="AE170" s="1708"/>
      <c r="AF170" s="1708"/>
      <c r="AG170" s="1708"/>
      <c r="AH170" s="1708"/>
      <c r="AI170" s="1708"/>
      <c r="AJ170" s="1708"/>
      <c r="AK170" s="1708"/>
      <c r="AL170" s="1708"/>
      <c r="AM170" s="1708"/>
      <c r="AN170" s="1708"/>
      <c r="AO170" s="1708"/>
      <c r="AP170" s="1708"/>
      <c r="AQ170" s="1708"/>
      <c r="AR170" s="1708"/>
      <c r="AS170" s="1708"/>
      <c r="AT170" s="1708"/>
      <c r="AU170" s="1708"/>
      <c r="AV170" s="1708"/>
      <c r="AW170" s="1708"/>
      <c r="AX170" s="1708"/>
      <c r="AY170" s="1708"/>
      <c r="AZ170" s="1708"/>
      <c r="BA170" s="1708"/>
      <c r="BB170" s="1708"/>
      <c r="BC170" s="1708"/>
      <c r="BD170" s="1708"/>
      <c r="BE170" s="1708"/>
      <c r="BF170" s="1708"/>
      <c r="BG170" s="1708"/>
      <c r="BH170" s="1708"/>
      <c r="BI170" s="1708"/>
      <c r="BJ170" s="1708"/>
      <c r="BK170" s="1708"/>
      <c r="BL170" s="1708"/>
      <c r="BM170" s="1708"/>
      <c r="BN170" s="1708"/>
      <c r="BO170" s="1708"/>
      <c r="BP170" s="1708"/>
      <c r="BQ170" s="1708"/>
      <c r="BR170" s="1708"/>
      <c r="BS170" s="1708"/>
      <c r="BT170" s="1708"/>
      <c r="BU170" s="1708"/>
      <c r="BV170" s="1708"/>
      <c r="BW170" s="1708"/>
      <c r="BX170" s="1708"/>
      <c r="BY170" s="1708"/>
      <c r="BZ170" s="1708"/>
      <c r="CA170" s="1708"/>
      <c r="CB170" s="1708"/>
      <c r="CC170" s="1708"/>
      <c r="CD170" s="1708"/>
      <c r="CE170" s="1708"/>
      <c r="CF170" s="1708"/>
      <c r="CG170" s="1708"/>
      <c r="CH170" s="1708"/>
      <c r="CI170" s="1708"/>
      <c r="CJ170" s="1708"/>
      <c r="CK170" s="1708"/>
      <c r="CL170" s="1708"/>
      <c r="CM170" s="1708"/>
      <c r="CN170" s="1708"/>
      <c r="CO170" s="1708"/>
      <c r="CP170" s="1708"/>
      <c r="CQ170" s="1708"/>
      <c r="CR170" s="1708"/>
      <c r="CS170" s="1708"/>
      <c r="CT170" s="1708"/>
      <c r="CU170" s="1708"/>
      <c r="CV170" s="1708"/>
      <c r="CW170" s="1708"/>
      <c r="CX170" s="1708"/>
      <c r="CY170" s="1708"/>
      <c r="CZ170" s="1708"/>
      <c r="DA170" s="1708"/>
      <c r="DB170" s="1708"/>
      <c r="DC170" s="1708"/>
      <c r="DD170" s="1708"/>
      <c r="DE170" s="1708"/>
      <c r="DF170" s="1708"/>
      <c r="DG170" s="1708"/>
      <c r="DH170" s="1708"/>
      <c r="DI170" s="1708"/>
      <c r="DJ170" s="1708"/>
      <c r="DK170" s="1708"/>
      <c r="DL170" s="1708"/>
      <c r="DM170" s="1708"/>
      <c r="DN170" s="1708"/>
      <c r="DO170" s="1708"/>
      <c r="DP170" s="1708"/>
      <c r="DQ170" s="1708"/>
      <c r="DR170" s="1708"/>
      <c r="DS170" s="1708"/>
      <c r="DT170" s="1708"/>
      <c r="DU170" s="1708"/>
      <c r="DV170" s="1708"/>
      <c r="DW170" s="1708"/>
      <c r="DX170" s="1708"/>
      <c r="DY170" s="1708"/>
      <c r="DZ170" s="1708"/>
      <c r="EA170" s="1708"/>
      <c r="EB170" s="1708"/>
      <c r="EC170" s="1708"/>
      <c r="ED170" s="1708"/>
      <c r="EE170" s="1708"/>
      <c r="EF170" s="1708"/>
      <c r="EG170" s="1708"/>
      <c r="EH170" s="1708"/>
      <c r="EI170" s="1708"/>
      <c r="EJ170" s="1708"/>
      <c r="EK170" s="1708"/>
      <c r="EL170" s="1708"/>
      <c r="EM170" s="1708"/>
      <c r="EN170" s="1708"/>
      <c r="EO170" s="1708"/>
      <c r="EP170" s="1708"/>
      <c r="EQ170" s="1708"/>
      <c r="ER170" s="1708"/>
      <c r="ES170" s="1708"/>
      <c r="ET170" s="1708"/>
      <c r="EU170" s="1708"/>
      <c r="EV170" s="1708"/>
      <c r="EW170" s="1708"/>
      <c r="EX170" s="1708"/>
      <c r="EY170" s="1708"/>
      <c r="EZ170" s="1708"/>
      <c r="FA170" s="1708"/>
      <c r="FB170" s="1708"/>
      <c r="FC170" s="1708"/>
      <c r="FD170" s="1708"/>
      <c r="FE170" s="1708"/>
      <c r="FF170" s="1708"/>
      <c r="FG170" s="1708"/>
      <c r="FH170" s="1708"/>
      <c r="FI170" s="1708"/>
      <c r="FJ170" s="1708"/>
      <c r="FK170" s="1708"/>
      <c r="FL170" s="1708"/>
      <c r="FM170" s="1708"/>
      <c r="FN170" s="1708"/>
      <c r="FO170" s="1708"/>
      <c r="FP170" s="1708"/>
      <c r="FQ170" s="1708"/>
      <c r="FR170" s="1708"/>
      <c r="FS170" s="1708"/>
      <c r="FT170" s="1708"/>
      <c r="FU170" s="1708"/>
      <c r="FV170" s="1708"/>
      <c r="FW170" s="1708"/>
      <c r="FX170" s="1708"/>
      <c r="FY170" s="1708"/>
      <c r="FZ170" s="1708"/>
      <c r="GA170" s="1708"/>
      <c r="GB170" s="1708"/>
      <c r="GC170" s="1708"/>
      <c r="GD170" s="1708"/>
      <c r="GE170" s="1708"/>
      <c r="GF170" s="1708"/>
      <c r="GG170" s="1708"/>
      <c r="GH170" s="1708"/>
      <c r="GI170" s="1708"/>
      <c r="GJ170" s="1708"/>
      <c r="GK170" s="1708"/>
      <c r="GL170" s="1708"/>
      <c r="GM170" s="1708"/>
      <c r="GN170" s="1708"/>
      <c r="GO170" s="1708"/>
      <c r="GP170" s="1708"/>
      <c r="GQ170" s="1708"/>
      <c r="GR170" s="1708"/>
      <c r="GS170" s="1708"/>
      <c r="GT170" s="1708"/>
      <c r="GU170" s="1708"/>
      <c r="GV170" s="1708"/>
      <c r="GW170" s="1708"/>
      <c r="GX170" s="1708"/>
      <c r="GY170" s="1708"/>
      <c r="GZ170" s="1708"/>
      <c r="HA170" s="1708"/>
      <c r="HB170" s="1708"/>
      <c r="HC170" s="1708"/>
      <c r="HD170" s="1708"/>
      <c r="HE170" s="1708"/>
      <c r="HF170" s="1708"/>
      <c r="HG170" s="1708"/>
      <c r="HH170" s="1708"/>
      <c r="HI170" s="1708"/>
      <c r="HJ170" s="1708"/>
      <c r="HK170" s="1708"/>
      <c r="HL170" s="1708"/>
      <c r="HM170" s="1708"/>
      <c r="HN170" s="1708"/>
      <c r="HO170" s="1708"/>
      <c r="HP170" s="1708"/>
      <c r="HQ170" s="1708"/>
      <c r="HR170" s="1708"/>
      <c r="HS170" s="1708"/>
      <c r="HT170" s="1708"/>
      <c r="HU170" s="1708"/>
      <c r="HV170" s="1708"/>
      <c r="HW170" s="1708"/>
      <c r="HX170" s="1708"/>
      <c r="HY170" s="1708"/>
      <c r="HZ170" s="1708"/>
      <c r="IA170" s="1708"/>
      <c r="IB170" s="1708"/>
      <c r="IC170" s="1708"/>
      <c r="ID170" s="1708"/>
      <c r="IE170" s="1708"/>
      <c r="IF170" s="1708"/>
      <c r="IG170" s="1708"/>
      <c r="IH170" s="1708"/>
      <c r="II170" s="1708"/>
      <c r="IJ170" s="1708"/>
      <c r="IK170" s="1708"/>
      <c r="IL170" s="1708"/>
      <c r="IM170" s="1708"/>
      <c r="IN170" s="1708"/>
      <c r="IO170" s="1708"/>
      <c r="IP170" s="1708"/>
      <c r="IQ170" s="1708"/>
      <c r="IR170" s="1708"/>
      <c r="IS170" s="1708"/>
      <c r="IT170" s="1708"/>
      <c r="IU170" s="1708"/>
      <c r="IV170" s="1708"/>
    </row>
    <row r="171" spans="2:256" s="57" customFormat="1" x14ac:dyDescent="0.25">
      <c r="B171" s="1836"/>
      <c r="G171" s="1849"/>
      <c r="J171" s="1850"/>
      <c r="K171" s="1850"/>
      <c r="S171" s="1708"/>
      <c r="T171" s="1708"/>
      <c r="U171" s="1708"/>
      <c r="V171" s="1708"/>
      <c r="W171" s="1708"/>
      <c r="X171" s="1708"/>
      <c r="Y171" s="1708"/>
      <c r="Z171" s="1708"/>
      <c r="AA171" s="1708"/>
      <c r="AB171" s="1708"/>
      <c r="AC171" s="1708"/>
      <c r="AD171" s="1708"/>
      <c r="AE171" s="1708"/>
      <c r="AF171" s="1708"/>
      <c r="AG171" s="1708"/>
      <c r="AH171" s="1708"/>
      <c r="AI171" s="1708"/>
      <c r="AJ171" s="1708"/>
      <c r="AK171" s="1708"/>
      <c r="AL171" s="1708"/>
      <c r="AM171" s="1708"/>
      <c r="AN171" s="1708"/>
      <c r="AO171" s="1708"/>
      <c r="AP171" s="1708"/>
      <c r="AQ171" s="1708"/>
      <c r="AR171" s="1708"/>
      <c r="AS171" s="1708"/>
      <c r="AT171" s="1708"/>
      <c r="AU171" s="1708"/>
      <c r="AV171" s="1708"/>
      <c r="AW171" s="1708"/>
      <c r="AX171" s="1708"/>
      <c r="AY171" s="1708"/>
      <c r="AZ171" s="1708"/>
      <c r="BA171" s="1708"/>
      <c r="BB171" s="1708"/>
      <c r="BC171" s="1708"/>
      <c r="BD171" s="1708"/>
      <c r="BE171" s="1708"/>
      <c r="BF171" s="1708"/>
      <c r="BG171" s="1708"/>
      <c r="BH171" s="1708"/>
      <c r="BI171" s="1708"/>
      <c r="BJ171" s="1708"/>
      <c r="BK171" s="1708"/>
      <c r="BL171" s="1708"/>
      <c r="BM171" s="1708"/>
      <c r="BN171" s="1708"/>
      <c r="BO171" s="1708"/>
      <c r="BP171" s="1708"/>
      <c r="BQ171" s="1708"/>
      <c r="BR171" s="1708"/>
      <c r="BS171" s="1708"/>
      <c r="BT171" s="1708"/>
      <c r="BU171" s="1708"/>
      <c r="BV171" s="1708"/>
      <c r="BW171" s="1708"/>
      <c r="BX171" s="1708"/>
      <c r="BY171" s="1708"/>
      <c r="BZ171" s="1708"/>
      <c r="CA171" s="1708"/>
      <c r="CB171" s="1708"/>
      <c r="CC171" s="1708"/>
      <c r="CD171" s="1708"/>
      <c r="CE171" s="1708"/>
      <c r="CF171" s="1708"/>
      <c r="CG171" s="1708"/>
      <c r="CH171" s="1708"/>
      <c r="CI171" s="1708"/>
      <c r="CJ171" s="1708"/>
      <c r="CK171" s="1708"/>
      <c r="CL171" s="1708"/>
      <c r="CM171" s="1708"/>
      <c r="CN171" s="1708"/>
      <c r="CO171" s="1708"/>
      <c r="CP171" s="1708"/>
      <c r="CQ171" s="1708"/>
      <c r="CR171" s="1708"/>
      <c r="CS171" s="1708"/>
      <c r="CT171" s="1708"/>
      <c r="CU171" s="1708"/>
      <c r="CV171" s="1708"/>
      <c r="CW171" s="1708"/>
      <c r="CX171" s="1708"/>
      <c r="CY171" s="1708"/>
      <c r="CZ171" s="1708"/>
      <c r="DA171" s="1708"/>
      <c r="DB171" s="1708"/>
      <c r="DC171" s="1708"/>
      <c r="DD171" s="1708"/>
      <c r="DE171" s="1708"/>
      <c r="DF171" s="1708"/>
      <c r="DG171" s="1708"/>
      <c r="DH171" s="1708"/>
      <c r="DI171" s="1708"/>
      <c r="DJ171" s="1708"/>
      <c r="DK171" s="1708"/>
      <c r="DL171" s="1708"/>
      <c r="DM171" s="1708"/>
      <c r="DN171" s="1708"/>
      <c r="DO171" s="1708"/>
      <c r="DP171" s="1708"/>
      <c r="DQ171" s="1708"/>
      <c r="DR171" s="1708"/>
      <c r="DS171" s="1708"/>
      <c r="DT171" s="1708"/>
      <c r="DU171" s="1708"/>
      <c r="DV171" s="1708"/>
      <c r="DW171" s="1708"/>
      <c r="DX171" s="1708"/>
      <c r="DY171" s="1708"/>
      <c r="DZ171" s="1708"/>
      <c r="EA171" s="1708"/>
      <c r="EB171" s="1708"/>
      <c r="EC171" s="1708"/>
      <c r="ED171" s="1708"/>
      <c r="EE171" s="1708"/>
      <c r="EF171" s="1708"/>
      <c r="EG171" s="1708"/>
      <c r="EH171" s="1708"/>
      <c r="EI171" s="1708"/>
      <c r="EJ171" s="1708"/>
      <c r="EK171" s="1708"/>
      <c r="EL171" s="1708"/>
      <c r="EM171" s="1708"/>
      <c r="EN171" s="1708"/>
      <c r="EO171" s="1708"/>
      <c r="EP171" s="1708"/>
      <c r="EQ171" s="1708"/>
      <c r="ER171" s="1708"/>
      <c r="ES171" s="1708"/>
      <c r="ET171" s="1708"/>
      <c r="EU171" s="1708"/>
      <c r="EV171" s="1708"/>
      <c r="EW171" s="1708"/>
      <c r="EX171" s="1708"/>
      <c r="EY171" s="1708"/>
      <c r="EZ171" s="1708"/>
      <c r="FA171" s="1708"/>
      <c r="FB171" s="1708"/>
      <c r="FC171" s="1708"/>
      <c r="FD171" s="1708"/>
      <c r="FE171" s="1708"/>
      <c r="FF171" s="1708"/>
      <c r="FG171" s="1708"/>
      <c r="FH171" s="1708"/>
      <c r="FI171" s="1708"/>
      <c r="FJ171" s="1708"/>
      <c r="FK171" s="1708"/>
      <c r="FL171" s="1708"/>
      <c r="FM171" s="1708"/>
      <c r="FN171" s="1708"/>
      <c r="FO171" s="1708"/>
      <c r="FP171" s="1708"/>
      <c r="FQ171" s="1708"/>
      <c r="FR171" s="1708"/>
      <c r="FS171" s="1708"/>
      <c r="FT171" s="1708"/>
      <c r="FU171" s="1708"/>
      <c r="FV171" s="1708"/>
      <c r="FW171" s="1708"/>
      <c r="FX171" s="1708"/>
      <c r="FY171" s="1708"/>
      <c r="FZ171" s="1708"/>
      <c r="GA171" s="1708"/>
      <c r="GB171" s="1708"/>
      <c r="GC171" s="1708"/>
      <c r="GD171" s="1708"/>
      <c r="GE171" s="1708"/>
      <c r="GF171" s="1708"/>
      <c r="GG171" s="1708"/>
      <c r="GH171" s="1708"/>
      <c r="GI171" s="1708"/>
      <c r="GJ171" s="1708"/>
      <c r="GK171" s="1708"/>
      <c r="GL171" s="1708"/>
      <c r="GM171" s="1708"/>
      <c r="GN171" s="1708"/>
      <c r="GO171" s="1708"/>
      <c r="GP171" s="1708"/>
      <c r="GQ171" s="1708"/>
      <c r="GR171" s="1708"/>
      <c r="GS171" s="1708"/>
      <c r="GT171" s="1708"/>
      <c r="GU171" s="1708"/>
      <c r="GV171" s="1708"/>
      <c r="GW171" s="1708"/>
      <c r="GX171" s="1708"/>
      <c r="GY171" s="1708"/>
      <c r="GZ171" s="1708"/>
      <c r="HA171" s="1708"/>
      <c r="HB171" s="1708"/>
      <c r="HC171" s="1708"/>
      <c r="HD171" s="1708"/>
      <c r="HE171" s="1708"/>
      <c r="HF171" s="1708"/>
      <c r="HG171" s="1708"/>
      <c r="HH171" s="1708"/>
      <c r="HI171" s="1708"/>
      <c r="HJ171" s="1708"/>
      <c r="HK171" s="1708"/>
      <c r="HL171" s="1708"/>
      <c r="HM171" s="1708"/>
      <c r="HN171" s="1708"/>
      <c r="HO171" s="1708"/>
      <c r="HP171" s="1708"/>
      <c r="HQ171" s="1708"/>
      <c r="HR171" s="1708"/>
      <c r="HS171" s="1708"/>
      <c r="HT171" s="1708"/>
      <c r="HU171" s="1708"/>
      <c r="HV171" s="1708"/>
      <c r="HW171" s="1708"/>
      <c r="HX171" s="1708"/>
      <c r="HY171" s="1708"/>
      <c r="HZ171" s="1708"/>
      <c r="IA171" s="1708"/>
      <c r="IB171" s="1708"/>
      <c r="IC171" s="1708"/>
      <c r="ID171" s="1708"/>
      <c r="IE171" s="1708"/>
      <c r="IF171" s="1708"/>
      <c r="IG171" s="1708"/>
      <c r="IH171" s="1708"/>
      <c r="II171" s="1708"/>
      <c r="IJ171" s="1708"/>
      <c r="IK171" s="1708"/>
      <c r="IL171" s="1708"/>
      <c r="IM171" s="1708"/>
      <c r="IN171" s="1708"/>
      <c r="IO171" s="1708"/>
      <c r="IP171" s="1708"/>
      <c r="IQ171" s="1708"/>
      <c r="IR171" s="1708"/>
      <c r="IS171" s="1708"/>
      <c r="IT171" s="1708"/>
      <c r="IU171" s="1708"/>
      <c r="IV171" s="1708"/>
    </row>
    <row r="172" spans="2:256" s="57" customFormat="1" x14ac:dyDescent="0.25">
      <c r="B172" s="1836"/>
      <c r="G172" s="1849"/>
      <c r="J172" s="1850"/>
      <c r="K172" s="1850"/>
      <c r="S172" s="1708"/>
      <c r="T172" s="1708"/>
      <c r="U172" s="1708"/>
      <c r="V172" s="1708"/>
      <c r="W172" s="1708"/>
      <c r="X172" s="1708"/>
      <c r="Y172" s="1708"/>
      <c r="Z172" s="1708"/>
      <c r="AA172" s="1708"/>
      <c r="AB172" s="1708"/>
      <c r="AC172" s="1708"/>
      <c r="AD172" s="1708"/>
      <c r="AE172" s="1708"/>
      <c r="AF172" s="1708"/>
      <c r="AG172" s="1708"/>
      <c r="AH172" s="1708"/>
      <c r="AI172" s="1708"/>
      <c r="AJ172" s="1708"/>
      <c r="AK172" s="1708"/>
      <c r="AL172" s="1708"/>
      <c r="AM172" s="1708"/>
      <c r="AN172" s="1708"/>
      <c r="AO172" s="1708"/>
      <c r="AP172" s="1708"/>
      <c r="AQ172" s="1708"/>
      <c r="AR172" s="1708"/>
      <c r="AS172" s="1708"/>
      <c r="AT172" s="1708"/>
      <c r="AU172" s="1708"/>
      <c r="AV172" s="1708"/>
      <c r="AW172" s="1708"/>
      <c r="AX172" s="1708"/>
      <c r="AY172" s="1708"/>
      <c r="AZ172" s="1708"/>
      <c r="BA172" s="1708"/>
      <c r="BB172" s="1708"/>
      <c r="BC172" s="1708"/>
      <c r="BD172" s="1708"/>
      <c r="BE172" s="1708"/>
      <c r="BF172" s="1708"/>
      <c r="BG172" s="1708"/>
      <c r="BH172" s="1708"/>
      <c r="BI172" s="1708"/>
      <c r="BJ172" s="1708"/>
      <c r="BK172" s="1708"/>
      <c r="BL172" s="1708"/>
      <c r="BM172" s="1708"/>
      <c r="BN172" s="1708"/>
      <c r="BO172" s="1708"/>
      <c r="BP172" s="1708"/>
      <c r="BQ172" s="1708"/>
      <c r="BR172" s="1708"/>
      <c r="BS172" s="1708"/>
      <c r="BT172" s="1708"/>
      <c r="BU172" s="1708"/>
      <c r="BV172" s="1708"/>
      <c r="BW172" s="1708"/>
      <c r="BX172" s="1708"/>
      <c r="BY172" s="1708"/>
      <c r="BZ172" s="1708"/>
      <c r="CA172" s="1708"/>
      <c r="CB172" s="1708"/>
      <c r="CC172" s="1708"/>
      <c r="CD172" s="1708"/>
      <c r="CE172" s="1708"/>
      <c r="CF172" s="1708"/>
      <c r="CG172" s="1708"/>
      <c r="CH172" s="1708"/>
      <c r="CI172" s="1708"/>
      <c r="CJ172" s="1708"/>
      <c r="CK172" s="1708"/>
      <c r="CL172" s="1708"/>
      <c r="CM172" s="1708"/>
      <c r="CN172" s="1708"/>
      <c r="CO172" s="1708"/>
      <c r="CP172" s="1708"/>
      <c r="CQ172" s="1708"/>
      <c r="CR172" s="1708"/>
      <c r="CS172" s="1708"/>
      <c r="CT172" s="1708"/>
      <c r="CU172" s="1708"/>
      <c r="CV172" s="1708"/>
      <c r="CW172" s="1708"/>
      <c r="CX172" s="1708"/>
      <c r="CY172" s="1708"/>
      <c r="CZ172" s="1708"/>
      <c r="DA172" s="1708"/>
      <c r="DB172" s="1708"/>
      <c r="DC172" s="1708"/>
      <c r="DD172" s="1708"/>
      <c r="DE172" s="1708"/>
      <c r="DF172" s="1708"/>
      <c r="DG172" s="1708"/>
      <c r="DH172" s="1708"/>
      <c r="DI172" s="1708"/>
      <c r="DJ172" s="1708"/>
      <c r="DK172" s="1708"/>
      <c r="DL172" s="1708"/>
      <c r="DM172" s="1708"/>
      <c r="DN172" s="1708"/>
      <c r="DO172" s="1708"/>
      <c r="DP172" s="1708"/>
      <c r="DQ172" s="1708"/>
      <c r="DR172" s="1708"/>
      <c r="DS172" s="1708"/>
      <c r="DT172" s="1708"/>
      <c r="DU172" s="1708"/>
      <c r="DV172" s="1708"/>
      <c r="DW172" s="1708"/>
      <c r="DX172" s="1708"/>
      <c r="DY172" s="1708"/>
      <c r="DZ172" s="1708"/>
      <c r="EA172" s="1708"/>
      <c r="EB172" s="1708"/>
      <c r="EC172" s="1708"/>
      <c r="ED172" s="1708"/>
      <c r="EE172" s="1708"/>
      <c r="EF172" s="1708"/>
      <c r="EG172" s="1708"/>
      <c r="EH172" s="1708"/>
      <c r="EI172" s="1708"/>
      <c r="EJ172" s="1708"/>
      <c r="EK172" s="1708"/>
      <c r="EL172" s="1708"/>
      <c r="EM172" s="1708"/>
      <c r="EN172" s="1708"/>
      <c r="EO172" s="1708"/>
      <c r="EP172" s="1708"/>
      <c r="EQ172" s="1708"/>
      <c r="ER172" s="1708"/>
      <c r="ES172" s="1708"/>
      <c r="ET172" s="1708"/>
      <c r="EU172" s="1708"/>
      <c r="EV172" s="1708"/>
      <c r="EW172" s="1708"/>
      <c r="EX172" s="1708"/>
      <c r="EY172" s="1708"/>
      <c r="EZ172" s="1708"/>
      <c r="FA172" s="1708"/>
      <c r="FB172" s="1708"/>
      <c r="FC172" s="1708"/>
      <c r="FD172" s="1708"/>
      <c r="FE172" s="1708"/>
      <c r="FF172" s="1708"/>
      <c r="FG172" s="1708"/>
      <c r="FH172" s="1708"/>
      <c r="FI172" s="1708"/>
      <c r="FJ172" s="1708"/>
      <c r="FK172" s="1708"/>
      <c r="FL172" s="1708"/>
      <c r="FM172" s="1708"/>
      <c r="FN172" s="1708"/>
      <c r="FO172" s="1708"/>
      <c r="FP172" s="1708"/>
      <c r="FQ172" s="1708"/>
      <c r="FR172" s="1708"/>
      <c r="FS172" s="1708"/>
      <c r="FT172" s="1708"/>
      <c r="FU172" s="1708"/>
      <c r="FV172" s="1708"/>
      <c r="FW172" s="1708"/>
      <c r="FX172" s="1708"/>
      <c r="FY172" s="1708"/>
      <c r="FZ172" s="1708"/>
      <c r="GA172" s="1708"/>
      <c r="GB172" s="1708"/>
      <c r="GC172" s="1708"/>
      <c r="GD172" s="1708"/>
      <c r="GE172" s="1708"/>
      <c r="GF172" s="1708"/>
      <c r="GG172" s="1708"/>
      <c r="GH172" s="1708"/>
      <c r="GI172" s="1708"/>
      <c r="GJ172" s="1708"/>
      <c r="GK172" s="1708"/>
      <c r="GL172" s="1708"/>
      <c r="GM172" s="1708"/>
      <c r="GN172" s="1708"/>
      <c r="GO172" s="1708"/>
      <c r="GP172" s="1708"/>
      <c r="GQ172" s="1708"/>
      <c r="GR172" s="1708"/>
      <c r="GS172" s="1708"/>
      <c r="GT172" s="1708"/>
      <c r="GU172" s="1708"/>
      <c r="GV172" s="1708"/>
      <c r="GW172" s="1708"/>
      <c r="GX172" s="1708"/>
      <c r="GY172" s="1708"/>
      <c r="GZ172" s="1708"/>
      <c r="HA172" s="1708"/>
      <c r="HB172" s="1708"/>
      <c r="HC172" s="1708"/>
      <c r="HD172" s="1708"/>
      <c r="HE172" s="1708"/>
      <c r="HF172" s="1708"/>
      <c r="HG172" s="1708"/>
      <c r="HH172" s="1708"/>
      <c r="HI172" s="1708"/>
      <c r="HJ172" s="1708"/>
      <c r="HK172" s="1708"/>
      <c r="HL172" s="1708"/>
      <c r="HM172" s="1708"/>
      <c r="HN172" s="1708"/>
      <c r="HO172" s="1708"/>
      <c r="HP172" s="1708"/>
      <c r="HQ172" s="1708"/>
      <c r="HR172" s="1708"/>
      <c r="HS172" s="1708"/>
      <c r="HT172" s="1708"/>
      <c r="HU172" s="1708"/>
      <c r="HV172" s="1708"/>
      <c r="HW172" s="1708"/>
      <c r="HX172" s="1708"/>
      <c r="HY172" s="1708"/>
      <c r="HZ172" s="1708"/>
      <c r="IA172" s="1708"/>
      <c r="IB172" s="1708"/>
      <c r="IC172" s="1708"/>
      <c r="ID172" s="1708"/>
      <c r="IE172" s="1708"/>
      <c r="IF172" s="1708"/>
      <c r="IG172" s="1708"/>
      <c r="IH172" s="1708"/>
      <c r="II172" s="1708"/>
      <c r="IJ172" s="1708"/>
      <c r="IK172" s="1708"/>
      <c r="IL172" s="1708"/>
      <c r="IM172" s="1708"/>
      <c r="IN172" s="1708"/>
      <c r="IO172" s="1708"/>
      <c r="IP172" s="1708"/>
      <c r="IQ172" s="1708"/>
      <c r="IR172" s="1708"/>
      <c r="IS172" s="1708"/>
      <c r="IT172" s="1708"/>
      <c r="IU172" s="1708"/>
      <c r="IV172" s="1708"/>
    </row>
    <row r="173" spans="2:256" s="57" customFormat="1" x14ac:dyDescent="0.25">
      <c r="B173" s="1836"/>
      <c r="G173" s="1849"/>
      <c r="J173" s="1850"/>
      <c r="K173" s="1850"/>
      <c r="S173" s="1708"/>
      <c r="T173" s="1708"/>
      <c r="U173" s="1708"/>
      <c r="V173" s="1708"/>
      <c r="W173" s="1708"/>
      <c r="X173" s="1708"/>
      <c r="Y173" s="1708"/>
      <c r="Z173" s="1708"/>
      <c r="AA173" s="1708"/>
      <c r="AB173" s="1708"/>
      <c r="AC173" s="1708"/>
      <c r="AD173" s="1708"/>
      <c r="AE173" s="1708"/>
      <c r="AF173" s="1708"/>
      <c r="AG173" s="1708"/>
      <c r="AH173" s="1708"/>
      <c r="AI173" s="1708"/>
      <c r="AJ173" s="1708"/>
      <c r="AK173" s="1708"/>
      <c r="AL173" s="1708"/>
      <c r="AM173" s="1708"/>
      <c r="AN173" s="1708"/>
      <c r="AO173" s="1708"/>
      <c r="AP173" s="1708"/>
      <c r="AQ173" s="1708"/>
      <c r="AR173" s="1708"/>
      <c r="AS173" s="1708"/>
      <c r="AT173" s="1708"/>
      <c r="AU173" s="1708"/>
      <c r="AV173" s="1708"/>
      <c r="AW173" s="1708"/>
      <c r="AX173" s="1708"/>
      <c r="AY173" s="1708"/>
      <c r="AZ173" s="1708"/>
      <c r="BA173" s="1708"/>
      <c r="BB173" s="1708"/>
      <c r="BC173" s="1708"/>
      <c r="BD173" s="1708"/>
      <c r="BE173" s="1708"/>
      <c r="BF173" s="1708"/>
      <c r="BG173" s="1708"/>
      <c r="BH173" s="1708"/>
      <c r="BI173" s="1708"/>
      <c r="BJ173" s="1708"/>
      <c r="BK173" s="1708"/>
      <c r="BL173" s="1708"/>
      <c r="BM173" s="1708"/>
      <c r="BN173" s="1708"/>
      <c r="BO173" s="1708"/>
      <c r="BP173" s="1708"/>
      <c r="BQ173" s="1708"/>
      <c r="BR173" s="1708"/>
      <c r="BS173" s="1708"/>
      <c r="BT173" s="1708"/>
      <c r="BU173" s="1708"/>
      <c r="BV173" s="1708"/>
      <c r="BW173" s="1708"/>
      <c r="BX173" s="1708"/>
      <c r="BY173" s="1708"/>
      <c r="BZ173" s="1708"/>
      <c r="CA173" s="1708"/>
      <c r="CB173" s="1708"/>
      <c r="CC173" s="1708"/>
      <c r="CD173" s="1708"/>
      <c r="CE173" s="1708"/>
      <c r="CF173" s="1708"/>
      <c r="CG173" s="1708"/>
      <c r="CH173" s="1708"/>
      <c r="CI173" s="1708"/>
      <c r="CJ173" s="1708"/>
      <c r="CK173" s="1708"/>
      <c r="CL173" s="1708"/>
      <c r="CM173" s="1708"/>
      <c r="CN173" s="1708"/>
      <c r="CO173" s="1708"/>
      <c r="CP173" s="1708"/>
      <c r="CQ173" s="1708"/>
      <c r="CR173" s="1708"/>
      <c r="CS173" s="1708"/>
      <c r="CT173" s="1708"/>
      <c r="CU173" s="1708"/>
      <c r="CV173" s="1708"/>
      <c r="CW173" s="1708"/>
      <c r="CX173" s="1708"/>
      <c r="CY173" s="1708"/>
      <c r="CZ173" s="1708"/>
      <c r="DA173" s="1708"/>
      <c r="DB173" s="1708"/>
      <c r="DC173" s="1708"/>
      <c r="DD173" s="1708"/>
      <c r="DE173" s="1708"/>
      <c r="DF173" s="1708"/>
      <c r="DG173" s="1708"/>
      <c r="DH173" s="1708"/>
      <c r="DI173" s="1708"/>
      <c r="DJ173" s="1708"/>
      <c r="DK173" s="1708"/>
      <c r="DL173" s="1708"/>
      <c r="DM173" s="1708"/>
      <c r="DN173" s="1708"/>
      <c r="DO173" s="1708"/>
      <c r="DP173" s="1708"/>
      <c r="DQ173" s="1708"/>
      <c r="DR173" s="1708"/>
      <c r="DS173" s="1708"/>
      <c r="DT173" s="1708"/>
      <c r="DU173" s="1708"/>
      <c r="DV173" s="1708"/>
      <c r="DW173" s="1708"/>
      <c r="DX173" s="1708"/>
      <c r="DY173" s="1708"/>
      <c r="DZ173" s="1708"/>
      <c r="EA173" s="1708"/>
      <c r="EB173" s="1708"/>
      <c r="EC173" s="1708"/>
      <c r="ED173" s="1708"/>
      <c r="EE173" s="1708"/>
      <c r="EF173" s="1708"/>
      <c r="EG173" s="1708"/>
      <c r="EH173" s="1708"/>
      <c r="EI173" s="1708"/>
      <c r="EJ173" s="1708"/>
      <c r="EK173" s="1708"/>
      <c r="EL173" s="1708"/>
      <c r="EM173" s="1708"/>
      <c r="EN173" s="1708"/>
      <c r="EO173" s="1708"/>
      <c r="EP173" s="1708"/>
      <c r="EQ173" s="1708"/>
      <c r="ER173" s="1708"/>
      <c r="ES173" s="1708"/>
      <c r="ET173" s="1708"/>
      <c r="EU173" s="1708"/>
      <c r="EV173" s="1708"/>
      <c r="EW173" s="1708"/>
      <c r="EX173" s="1708"/>
      <c r="EY173" s="1708"/>
      <c r="EZ173" s="1708"/>
      <c r="FA173" s="1708"/>
      <c r="FB173" s="1708"/>
      <c r="FC173" s="1708"/>
      <c r="FD173" s="1708"/>
      <c r="FE173" s="1708"/>
      <c r="FF173" s="1708"/>
      <c r="FG173" s="1708"/>
      <c r="FH173" s="1708"/>
      <c r="FI173" s="1708"/>
      <c r="FJ173" s="1708"/>
      <c r="FK173" s="1708"/>
      <c r="FL173" s="1708"/>
      <c r="FM173" s="1708"/>
      <c r="FN173" s="1708"/>
      <c r="FO173" s="1708"/>
      <c r="FP173" s="1708"/>
      <c r="FQ173" s="1708"/>
      <c r="FR173" s="1708"/>
      <c r="FS173" s="1708"/>
      <c r="FT173" s="1708"/>
      <c r="FU173" s="1708"/>
      <c r="FV173" s="1708"/>
      <c r="FW173" s="1708"/>
      <c r="FX173" s="1708"/>
      <c r="FY173" s="1708"/>
      <c r="FZ173" s="1708"/>
      <c r="GA173" s="1708"/>
      <c r="GB173" s="1708"/>
      <c r="GC173" s="1708"/>
      <c r="GD173" s="1708"/>
      <c r="GE173" s="1708"/>
      <c r="GF173" s="1708"/>
      <c r="GG173" s="1708"/>
      <c r="GH173" s="1708"/>
      <c r="GI173" s="1708"/>
      <c r="GJ173" s="1708"/>
      <c r="GK173" s="1708"/>
      <c r="GL173" s="1708"/>
      <c r="GM173" s="1708"/>
      <c r="GN173" s="1708"/>
      <c r="GO173" s="1708"/>
      <c r="GP173" s="1708"/>
      <c r="GQ173" s="1708"/>
      <c r="GR173" s="1708"/>
      <c r="GS173" s="1708"/>
      <c r="GT173" s="1708"/>
      <c r="GU173" s="1708"/>
      <c r="GV173" s="1708"/>
      <c r="GW173" s="1708"/>
      <c r="GX173" s="1708"/>
      <c r="GY173" s="1708"/>
      <c r="GZ173" s="1708"/>
      <c r="HA173" s="1708"/>
      <c r="HB173" s="1708"/>
      <c r="HC173" s="1708"/>
      <c r="HD173" s="1708"/>
      <c r="HE173" s="1708"/>
      <c r="HF173" s="1708"/>
      <c r="HG173" s="1708"/>
      <c r="HH173" s="1708"/>
      <c r="HI173" s="1708"/>
      <c r="HJ173" s="1708"/>
      <c r="HK173" s="1708"/>
      <c r="HL173" s="1708"/>
      <c r="HM173" s="1708"/>
      <c r="HN173" s="1708"/>
      <c r="HO173" s="1708"/>
      <c r="HP173" s="1708"/>
      <c r="HQ173" s="1708"/>
      <c r="HR173" s="1708"/>
      <c r="HS173" s="1708"/>
      <c r="HT173" s="1708"/>
      <c r="HU173" s="1708"/>
      <c r="HV173" s="1708"/>
      <c r="HW173" s="1708"/>
      <c r="HX173" s="1708"/>
      <c r="HY173" s="1708"/>
      <c r="HZ173" s="1708"/>
      <c r="IA173" s="1708"/>
      <c r="IB173" s="1708"/>
      <c r="IC173" s="1708"/>
      <c r="ID173" s="1708"/>
      <c r="IE173" s="1708"/>
      <c r="IF173" s="1708"/>
      <c r="IG173" s="1708"/>
      <c r="IH173" s="1708"/>
      <c r="II173" s="1708"/>
      <c r="IJ173" s="1708"/>
      <c r="IK173" s="1708"/>
      <c r="IL173" s="1708"/>
      <c r="IM173" s="1708"/>
      <c r="IN173" s="1708"/>
      <c r="IO173" s="1708"/>
      <c r="IP173" s="1708"/>
      <c r="IQ173" s="1708"/>
      <c r="IR173" s="1708"/>
      <c r="IS173" s="1708"/>
      <c r="IT173" s="1708"/>
      <c r="IU173" s="1708"/>
      <c r="IV173" s="1708"/>
    </row>
    <row r="174" spans="2:256" s="57" customFormat="1" x14ac:dyDescent="0.25">
      <c r="B174" s="1836"/>
      <c r="G174" s="1849"/>
      <c r="J174" s="1850"/>
      <c r="K174" s="1850"/>
      <c r="S174" s="1708"/>
      <c r="T174" s="1708"/>
      <c r="U174" s="1708"/>
      <c r="V174" s="1708"/>
      <c r="W174" s="1708"/>
      <c r="X174" s="1708"/>
      <c r="Y174" s="1708"/>
      <c r="Z174" s="1708"/>
      <c r="AA174" s="1708"/>
      <c r="AB174" s="1708"/>
      <c r="AC174" s="1708"/>
      <c r="AD174" s="1708"/>
      <c r="AE174" s="1708"/>
      <c r="AF174" s="1708"/>
      <c r="AG174" s="1708"/>
      <c r="AH174" s="1708"/>
      <c r="AI174" s="1708"/>
      <c r="AJ174" s="1708"/>
      <c r="AK174" s="1708"/>
      <c r="AL174" s="1708"/>
      <c r="AM174" s="1708"/>
      <c r="AN174" s="1708"/>
      <c r="AO174" s="1708"/>
      <c r="AP174" s="1708"/>
      <c r="AQ174" s="1708"/>
      <c r="AR174" s="1708"/>
      <c r="AS174" s="1708"/>
      <c r="AT174" s="1708"/>
      <c r="AU174" s="1708"/>
      <c r="AV174" s="1708"/>
      <c r="AW174" s="1708"/>
      <c r="AX174" s="1708"/>
      <c r="AY174" s="1708"/>
      <c r="AZ174" s="1708"/>
      <c r="BA174" s="1708"/>
      <c r="BB174" s="1708"/>
      <c r="BC174" s="1708"/>
      <c r="BD174" s="1708"/>
      <c r="BE174" s="1708"/>
      <c r="BF174" s="1708"/>
      <c r="BG174" s="1708"/>
      <c r="BH174" s="1708"/>
      <c r="BI174" s="1708"/>
      <c r="BJ174" s="1708"/>
      <c r="BK174" s="1708"/>
      <c r="BL174" s="1708"/>
      <c r="BM174" s="1708"/>
      <c r="BN174" s="1708"/>
      <c r="BO174" s="1708"/>
      <c r="BP174" s="1708"/>
      <c r="BQ174" s="1708"/>
      <c r="BR174" s="1708"/>
      <c r="BS174" s="1708"/>
      <c r="BT174" s="1708"/>
      <c r="BU174" s="1708"/>
      <c r="BV174" s="1708"/>
      <c r="BW174" s="1708"/>
      <c r="BX174" s="1708"/>
      <c r="BY174" s="1708"/>
      <c r="BZ174" s="1708"/>
      <c r="CA174" s="1708"/>
      <c r="CB174" s="1708"/>
      <c r="CC174" s="1708"/>
      <c r="CD174" s="1708"/>
      <c r="CE174" s="1708"/>
      <c r="CF174" s="1708"/>
      <c r="CG174" s="1708"/>
      <c r="CH174" s="1708"/>
      <c r="CI174" s="1708"/>
      <c r="CJ174" s="1708"/>
      <c r="CK174" s="1708"/>
      <c r="CL174" s="1708"/>
      <c r="CM174" s="1708"/>
      <c r="CN174" s="1708"/>
      <c r="CO174" s="1708"/>
      <c r="CP174" s="1708"/>
      <c r="CQ174" s="1708"/>
      <c r="CR174" s="1708"/>
      <c r="CS174" s="1708"/>
      <c r="CT174" s="1708"/>
      <c r="CU174" s="1708"/>
      <c r="CV174" s="1708"/>
      <c r="CW174" s="1708"/>
      <c r="CX174" s="1708"/>
      <c r="CY174" s="1708"/>
      <c r="CZ174" s="1708"/>
      <c r="DA174" s="1708"/>
      <c r="DB174" s="1708"/>
      <c r="DC174" s="1708"/>
      <c r="DD174" s="1708"/>
      <c r="DE174" s="1708"/>
      <c r="DF174" s="1708"/>
      <c r="DG174" s="1708"/>
      <c r="DH174" s="1708"/>
      <c r="DI174" s="1708"/>
      <c r="DJ174" s="1708"/>
      <c r="DK174" s="1708"/>
      <c r="DL174" s="1708"/>
      <c r="DM174" s="1708"/>
      <c r="DN174" s="1708"/>
      <c r="DO174" s="1708"/>
      <c r="DP174" s="1708"/>
      <c r="DQ174" s="1708"/>
      <c r="DR174" s="1708"/>
      <c r="DS174" s="1708"/>
      <c r="DT174" s="1708"/>
      <c r="DU174" s="1708"/>
      <c r="DV174" s="1708"/>
      <c r="DW174" s="1708"/>
      <c r="DX174" s="1708"/>
      <c r="DY174" s="1708"/>
      <c r="DZ174" s="1708"/>
      <c r="EA174" s="1708"/>
      <c r="EB174" s="1708"/>
      <c r="EC174" s="1708"/>
      <c r="ED174" s="1708"/>
      <c r="EE174" s="1708"/>
      <c r="EF174" s="1708"/>
      <c r="EG174" s="1708"/>
      <c r="EH174" s="1708"/>
      <c r="EI174" s="1708"/>
      <c r="EJ174" s="1708"/>
      <c r="EK174" s="1708"/>
      <c r="EL174" s="1708"/>
      <c r="EM174" s="1708"/>
      <c r="EN174" s="1708"/>
      <c r="EO174" s="1708"/>
      <c r="EP174" s="1708"/>
      <c r="EQ174" s="1708"/>
      <c r="ER174" s="1708"/>
      <c r="ES174" s="1708"/>
      <c r="ET174" s="1708"/>
      <c r="EU174" s="1708"/>
      <c r="EV174" s="1708"/>
      <c r="EW174" s="1708"/>
      <c r="EX174" s="1708"/>
      <c r="EY174" s="1708"/>
      <c r="EZ174" s="1708"/>
      <c r="FA174" s="1708"/>
      <c r="FB174" s="1708"/>
      <c r="FC174" s="1708"/>
      <c r="FD174" s="1708"/>
      <c r="FE174" s="1708"/>
      <c r="FF174" s="1708"/>
      <c r="FG174" s="1708"/>
      <c r="FH174" s="1708"/>
      <c r="FI174" s="1708"/>
      <c r="FJ174" s="1708"/>
      <c r="FK174" s="1708"/>
      <c r="FL174" s="1708"/>
      <c r="FM174" s="1708"/>
      <c r="FN174" s="1708"/>
      <c r="FO174" s="1708"/>
      <c r="FP174" s="1708"/>
      <c r="FQ174" s="1708"/>
      <c r="FR174" s="1708"/>
      <c r="FS174" s="1708"/>
      <c r="FT174" s="1708"/>
      <c r="FU174" s="1708"/>
      <c r="FV174" s="1708"/>
      <c r="FW174" s="1708"/>
      <c r="FX174" s="1708"/>
      <c r="FY174" s="1708"/>
      <c r="FZ174" s="1708"/>
      <c r="GA174" s="1708"/>
      <c r="GB174" s="1708"/>
      <c r="GC174" s="1708"/>
      <c r="GD174" s="1708"/>
      <c r="GE174" s="1708"/>
      <c r="GF174" s="1708"/>
      <c r="GG174" s="1708"/>
      <c r="GH174" s="1708"/>
      <c r="GI174" s="1708"/>
      <c r="GJ174" s="1708"/>
      <c r="GK174" s="1708"/>
      <c r="GL174" s="1708"/>
      <c r="GM174" s="1708"/>
      <c r="GN174" s="1708"/>
      <c r="GO174" s="1708"/>
      <c r="GP174" s="1708"/>
      <c r="GQ174" s="1708"/>
      <c r="GR174" s="1708"/>
      <c r="GS174" s="1708"/>
      <c r="GT174" s="1708"/>
      <c r="GU174" s="1708"/>
      <c r="GV174" s="1708"/>
      <c r="GW174" s="1708"/>
      <c r="GX174" s="1708"/>
      <c r="GY174" s="1708"/>
      <c r="GZ174" s="1708"/>
      <c r="HA174" s="1708"/>
      <c r="HB174" s="1708"/>
      <c r="HC174" s="1708"/>
      <c r="HD174" s="1708"/>
      <c r="HE174" s="1708"/>
      <c r="HF174" s="1708"/>
      <c r="HG174" s="1708"/>
      <c r="HH174" s="1708"/>
      <c r="HI174" s="1708"/>
      <c r="HJ174" s="1708"/>
      <c r="HK174" s="1708"/>
      <c r="HL174" s="1708"/>
      <c r="HM174" s="1708"/>
      <c r="HN174" s="1708"/>
      <c r="HO174" s="1708"/>
      <c r="HP174" s="1708"/>
      <c r="HQ174" s="1708"/>
      <c r="HR174" s="1708"/>
      <c r="HS174" s="1708"/>
      <c r="HT174" s="1708"/>
      <c r="HU174" s="1708"/>
      <c r="HV174" s="1708"/>
      <c r="HW174" s="1708"/>
      <c r="HX174" s="1708"/>
      <c r="HY174" s="1708"/>
      <c r="HZ174" s="1708"/>
      <c r="IA174" s="1708"/>
      <c r="IB174" s="1708"/>
      <c r="IC174" s="1708"/>
      <c r="ID174" s="1708"/>
      <c r="IE174" s="1708"/>
      <c r="IF174" s="1708"/>
      <c r="IG174" s="1708"/>
      <c r="IH174" s="1708"/>
      <c r="II174" s="1708"/>
      <c r="IJ174" s="1708"/>
      <c r="IK174" s="1708"/>
      <c r="IL174" s="1708"/>
      <c r="IM174" s="1708"/>
      <c r="IN174" s="1708"/>
      <c r="IO174" s="1708"/>
      <c r="IP174" s="1708"/>
      <c r="IQ174" s="1708"/>
      <c r="IR174" s="1708"/>
      <c r="IS174" s="1708"/>
      <c r="IT174" s="1708"/>
      <c r="IU174" s="1708"/>
      <c r="IV174" s="1708"/>
    </row>
    <row r="175" spans="2:256" s="57" customFormat="1" x14ac:dyDescent="0.25">
      <c r="B175" s="1836"/>
      <c r="G175" s="1849"/>
      <c r="J175" s="1850"/>
      <c r="K175" s="1850"/>
      <c r="S175" s="1708"/>
      <c r="T175" s="1708"/>
      <c r="U175" s="1708"/>
      <c r="V175" s="1708"/>
      <c r="W175" s="1708"/>
      <c r="X175" s="1708"/>
      <c r="Y175" s="1708"/>
      <c r="Z175" s="1708"/>
      <c r="AA175" s="1708"/>
      <c r="AB175" s="1708"/>
      <c r="AC175" s="1708"/>
      <c r="AD175" s="1708"/>
      <c r="AE175" s="1708"/>
      <c r="AF175" s="1708"/>
      <c r="AG175" s="1708"/>
      <c r="AH175" s="1708"/>
      <c r="AI175" s="1708"/>
      <c r="AJ175" s="1708"/>
      <c r="AK175" s="1708"/>
      <c r="AL175" s="1708"/>
      <c r="AM175" s="1708"/>
      <c r="AN175" s="1708"/>
      <c r="AO175" s="1708"/>
      <c r="AP175" s="1708"/>
      <c r="AQ175" s="1708"/>
      <c r="AR175" s="1708"/>
      <c r="AS175" s="1708"/>
      <c r="AT175" s="1708"/>
      <c r="AU175" s="1708"/>
      <c r="AV175" s="1708"/>
      <c r="AW175" s="1708"/>
      <c r="AX175" s="1708"/>
      <c r="AY175" s="1708"/>
      <c r="AZ175" s="1708"/>
      <c r="BA175" s="1708"/>
      <c r="BB175" s="1708"/>
      <c r="BC175" s="1708"/>
      <c r="BD175" s="1708"/>
      <c r="BE175" s="1708"/>
      <c r="BF175" s="1708"/>
      <c r="BG175" s="1708"/>
      <c r="BH175" s="1708"/>
      <c r="BI175" s="1708"/>
      <c r="BJ175" s="1708"/>
      <c r="BK175" s="1708"/>
      <c r="BL175" s="1708"/>
      <c r="BM175" s="1708"/>
      <c r="BN175" s="1708"/>
      <c r="BO175" s="1708"/>
      <c r="BP175" s="1708"/>
      <c r="BQ175" s="1708"/>
      <c r="BR175" s="1708"/>
      <c r="BS175" s="1708"/>
      <c r="BT175" s="1708"/>
      <c r="BU175" s="1708"/>
      <c r="BV175" s="1708"/>
      <c r="BW175" s="1708"/>
      <c r="BX175" s="1708"/>
      <c r="BY175" s="1708"/>
      <c r="BZ175" s="1708"/>
      <c r="CA175" s="1708"/>
      <c r="CB175" s="1708"/>
      <c r="CC175" s="1708"/>
      <c r="CD175" s="1708"/>
      <c r="CE175" s="1708"/>
      <c r="CF175" s="1708"/>
      <c r="CG175" s="1708"/>
      <c r="CH175" s="1708"/>
      <c r="CI175" s="1708"/>
      <c r="CJ175" s="1708"/>
      <c r="CK175" s="1708"/>
      <c r="CL175" s="1708"/>
      <c r="CM175" s="1708"/>
      <c r="CN175" s="1708"/>
      <c r="CO175" s="1708"/>
      <c r="CP175" s="1708"/>
      <c r="CQ175" s="1708"/>
      <c r="CR175" s="1708"/>
      <c r="CS175" s="1708"/>
      <c r="CT175" s="1708"/>
      <c r="CU175" s="1708"/>
      <c r="CV175" s="1708"/>
      <c r="CW175" s="1708"/>
      <c r="CX175" s="1708"/>
      <c r="CY175" s="1708"/>
      <c r="CZ175" s="1708"/>
      <c r="DA175" s="1708"/>
      <c r="DB175" s="1708"/>
      <c r="DC175" s="1708"/>
      <c r="DD175" s="1708"/>
      <c r="DE175" s="1708"/>
      <c r="DF175" s="1708"/>
      <c r="DG175" s="1708"/>
      <c r="DH175" s="1708"/>
      <c r="DI175" s="1708"/>
      <c r="DJ175" s="1708"/>
      <c r="DK175" s="1708"/>
      <c r="DL175" s="1708"/>
      <c r="DM175" s="1708"/>
      <c r="DN175" s="1708"/>
      <c r="DO175" s="1708"/>
      <c r="DP175" s="1708"/>
      <c r="DQ175" s="1708"/>
      <c r="DR175" s="1708"/>
      <c r="DS175" s="1708"/>
      <c r="DT175" s="1708"/>
      <c r="DU175" s="1708"/>
      <c r="DV175" s="1708"/>
      <c r="DW175" s="1708"/>
      <c r="DX175" s="1708"/>
      <c r="DY175" s="1708"/>
      <c r="DZ175" s="1708"/>
      <c r="EA175" s="1708"/>
      <c r="EB175" s="1708"/>
      <c r="EC175" s="1708"/>
      <c r="ED175" s="1708"/>
      <c r="EE175" s="1708"/>
      <c r="EF175" s="1708"/>
      <c r="EG175" s="1708"/>
      <c r="EH175" s="1708"/>
      <c r="EI175" s="1708"/>
      <c r="EJ175" s="1708"/>
      <c r="EK175" s="1708"/>
      <c r="EL175" s="1708"/>
      <c r="EM175" s="1708"/>
      <c r="EN175" s="1708"/>
      <c r="EO175" s="1708"/>
      <c r="EP175" s="1708"/>
      <c r="EQ175" s="1708"/>
      <c r="ER175" s="1708"/>
      <c r="ES175" s="1708"/>
      <c r="ET175" s="1708"/>
      <c r="EU175" s="1708"/>
      <c r="EV175" s="1708"/>
      <c r="EW175" s="1708"/>
      <c r="EX175" s="1708"/>
      <c r="EY175" s="1708"/>
      <c r="EZ175" s="1708"/>
      <c r="FA175" s="1708"/>
      <c r="FB175" s="1708"/>
      <c r="FC175" s="1708"/>
      <c r="FD175" s="1708"/>
      <c r="FE175" s="1708"/>
      <c r="FF175" s="1708"/>
      <c r="FG175" s="1708"/>
      <c r="FH175" s="1708"/>
      <c r="FI175" s="1708"/>
      <c r="FJ175" s="1708"/>
      <c r="FK175" s="1708"/>
      <c r="FL175" s="1708"/>
      <c r="FM175" s="1708"/>
      <c r="FN175" s="1708"/>
      <c r="FO175" s="1708"/>
      <c r="FP175" s="1708"/>
      <c r="FQ175" s="1708"/>
      <c r="FR175" s="1708"/>
      <c r="FS175" s="1708"/>
      <c r="FT175" s="1708"/>
      <c r="FU175" s="1708"/>
      <c r="FV175" s="1708"/>
      <c r="FW175" s="1708"/>
      <c r="FX175" s="1708"/>
      <c r="FY175" s="1708"/>
      <c r="FZ175" s="1708"/>
      <c r="GA175" s="1708"/>
      <c r="GB175" s="1708"/>
      <c r="GC175" s="1708"/>
      <c r="GD175" s="1708"/>
      <c r="GE175" s="1708"/>
      <c r="GF175" s="1708"/>
      <c r="GG175" s="1708"/>
      <c r="GH175" s="1708"/>
      <c r="GI175" s="1708"/>
      <c r="GJ175" s="1708"/>
      <c r="GK175" s="1708"/>
      <c r="GL175" s="1708"/>
      <c r="GM175" s="1708"/>
      <c r="GN175" s="1708"/>
      <c r="GO175" s="1708"/>
      <c r="GP175" s="1708"/>
      <c r="GQ175" s="1708"/>
      <c r="GR175" s="1708"/>
      <c r="GS175" s="1708"/>
      <c r="GT175" s="1708"/>
      <c r="GU175" s="1708"/>
      <c r="GV175" s="1708"/>
      <c r="GW175" s="1708"/>
      <c r="GX175" s="1708"/>
      <c r="GY175" s="1708"/>
      <c r="GZ175" s="1708"/>
      <c r="HA175" s="1708"/>
      <c r="HB175" s="1708"/>
      <c r="HC175" s="1708"/>
      <c r="HD175" s="1708"/>
      <c r="HE175" s="1708"/>
      <c r="HF175" s="1708"/>
      <c r="HG175" s="1708"/>
      <c r="HH175" s="1708"/>
      <c r="HI175" s="1708"/>
      <c r="HJ175" s="1708"/>
      <c r="HK175" s="1708"/>
      <c r="HL175" s="1708"/>
      <c r="HM175" s="1708"/>
      <c r="HN175" s="1708"/>
      <c r="HO175" s="1708"/>
      <c r="HP175" s="1708"/>
      <c r="HQ175" s="1708"/>
      <c r="HR175" s="1708"/>
      <c r="HS175" s="1708"/>
      <c r="HT175" s="1708"/>
      <c r="HU175" s="1708"/>
      <c r="HV175" s="1708"/>
      <c r="HW175" s="1708"/>
      <c r="HX175" s="1708"/>
      <c r="HY175" s="1708"/>
      <c r="HZ175" s="1708"/>
      <c r="IA175" s="1708"/>
      <c r="IB175" s="1708"/>
      <c r="IC175" s="1708"/>
      <c r="ID175" s="1708"/>
      <c r="IE175" s="1708"/>
      <c r="IF175" s="1708"/>
      <c r="IG175" s="1708"/>
      <c r="IH175" s="1708"/>
      <c r="II175" s="1708"/>
      <c r="IJ175" s="1708"/>
      <c r="IK175" s="1708"/>
      <c r="IL175" s="1708"/>
      <c r="IM175" s="1708"/>
      <c r="IN175" s="1708"/>
      <c r="IO175" s="1708"/>
      <c r="IP175" s="1708"/>
      <c r="IQ175" s="1708"/>
      <c r="IR175" s="1708"/>
      <c r="IS175" s="1708"/>
      <c r="IT175" s="1708"/>
      <c r="IU175" s="1708"/>
      <c r="IV175" s="1708"/>
    </row>
    <row r="176" spans="2:256" s="57" customFormat="1" x14ac:dyDescent="0.25">
      <c r="B176" s="1836"/>
      <c r="G176" s="1849"/>
      <c r="J176" s="1850"/>
      <c r="K176" s="1850"/>
      <c r="S176" s="1708"/>
      <c r="T176" s="1708"/>
      <c r="U176" s="1708"/>
      <c r="V176" s="1708"/>
      <c r="W176" s="1708"/>
      <c r="X176" s="1708"/>
      <c r="Y176" s="1708"/>
      <c r="Z176" s="1708"/>
      <c r="AA176" s="1708"/>
      <c r="AB176" s="1708"/>
      <c r="AC176" s="1708"/>
      <c r="AD176" s="1708"/>
      <c r="AE176" s="1708"/>
      <c r="AF176" s="1708"/>
      <c r="AG176" s="1708"/>
      <c r="AH176" s="1708"/>
      <c r="AI176" s="1708"/>
      <c r="AJ176" s="1708"/>
      <c r="AK176" s="1708"/>
      <c r="AL176" s="1708"/>
      <c r="AM176" s="1708"/>
      <c r="AN176" s="1708"/>
      <c r="AO176" s="1708"/>
      <c r="AP176" s="1708"/>
      <c r="AQ176" s="1708"/>
      <c r="AR176" s="1708"/>
      <c r="AS176" s="1708"/>
      <c r="AT176" s="1708"/>
      <c r="AU176" s="1708"/>
      <c r="AV176" s="1708"/>
      <c r="AW176" s="1708"/>
      <c r="AX176" s="1708"/>
      <c r="AY176" s="1708"/>
      <c r="AZ176" s="1708"/>
      <c r="BA176" s="1708"/>
      <c r="BB176" s="1708"/>
      <c r="BC176" s="1708"/>
      <c r="BD176" s="1708"/>
      <c r="BE176" s="1708"/>
      <c r="BF176" s="1708"/>
      <c r="BG176" s="1708"/>
      <c r="BH176" s="1708"/>
      <c r="BI176" s="1708"/>
      <c r="BJ176" s="1708"/>
      <c r="BK176" s="1708"/>
      <c r="BL176" s="1708"/>
      <c r="BM176" s="1708"/>
      <c r="BN176" s="1708"/>
      <c r="BO176" s="1708"/>
      <c r="BP176" s="1708"/>
      <c r="BQ176" s="1708"/>
      <c r="BR176" s="1708"/>
      <c r="BS176" s="1708"/>
      <c r="BT176" s="1708"/>
      <c r="BU176" s="1708"/>
      <c r="BV176" s="1708"/>
      <c r="BW176" s="1708"/>
      <c r="BX176" s="1708"/>
      <c r="BY176" s="1708"/>
      <c r="BZ176" s="1708"/>
      <c r="CA176" s="1708"/>
      <c r="CB176" s="1708"/>
      <c r="CC176" s="1708"/>
      <c r="CD176" s="1708"/>
      <c r="CE176" s="1708"/>
      <c r="CF176" s="1708"/>
      <c r="CG176" s="1708"/>
      <c r="CH176" s="1708"/>
      <c r="CI176" s="1708"/>
      <c r="CJ176" s="1708"/>
      <c r="CK176" s="1708"/>
      <c r="CL176" s="1708"/>
      <c r="CM176" s="1708"/>
      <c r="CN176" s="1708"/>
      <c r="CO176" s="1708"/>
      <c r="CP176" s="1708"/>
      <c r="CQ176" s="1708"/>
      <c r="CR176" s="1708"/>
      <c r="CS176" s="1708"/>
      <c r="CT176" s="1708"/>
      <c r="CU176" s="1708"/>
      <c r="CV176" s="1708"/>
      <c r="CW176" s="1708"/>
      <c r="CX176" s="1708"/>
      <c r="CY176" s="1708"/>
      <c r="CZ176" s="1708"/>
      <c r="DA176" s="1708"/>
      <c r="DB176" s="1708"/>
      <c r="DC176" s="1708"/>
      <c r="DD176" s="1708"/>
      <c r="DE176" s="1708"/>
      <c r="DF176" s="1708"/>
      <c r="DG176" s="1708"/>
      <c r="DH176" s="1708"/>
      <c r="DI176" s="1708"/>
      <c r="DJ176" s="1708"/>
      <c r="DK176" s="1708"/>
      <c r="DL176" s="1708"/>
      <c r="DM176" s="1708"/>
      <c r="DN176" s="1708"/>
      <c r="DO176" s="1708"/>
      <c r="DP176" s="1708"/>
      <c r="DQ176" s="1708"/>
      <c r="DR176" s="1708"/>
      <c r="DS176" s="1708"/>
      <c r="DT176" s="1708"/>
      <c r="DU176" s="1708"/>
      <c r="DV176" s="1708"/>
      <c r="DW176" s="1708"/>
      <c r="DX176" s="1708"/>
      <c r="DY176" s="1708"/>
      <c r="DZ176" s="1708"/>
      <c r="EA176" s="1708"/>
      <c r="EB176" s="1708"/>
      <c r="EC176" s="1708"/>
      <c r="ED176" s="1708"/>
      <c r="EE176" s="1708"/>
      <c r="EF176" s="1708"/>
      <c r="EG176" s="1708"/>
      <c r="EH176" s="1708"/>
      <c r="EI176" s="1708"/>
      <c r="EJ176" s="1708"/>
      <c r="EK176" s="1708"/>
      <c r="EL176" s="1708"/>
      <c r="EM176" s="1708"/>
      <c r="EN176" s="1708"/>
      <c r="EO176" s="1708"/>
      <c r="EP176" s="1708"/>
      <c r="EQ176" s="1708"/>
      <c r="ER176" s="1708"/>
      <c r="ES176" s="1708"/>
      <c r="ET176" s="1708"/>
      <c r="EU176" s="1708"/>
      <c r="EV176" s="1708"/>
      <c r="EW176" s="1708"/>
      <c r="EX176" s="1708"/>
      <c r="EY176" s="1708"/>
      <c r="EZ176" s="1708"/>
      <c r="FA176" s="1708"/>
      <c r="FB176" s="1708"/>
      <c r="FC176" s="1708"/>
      <c r="FD176" s="1708"/>
      <c r="FE176" s="1708"/>
      <c r="FF176" s="1708"/>
      <c r="FG176" s="1708"/>
      <c r="FH176" s="1708"/>
      <c r="FI176" s="1708"/>
      <c r="FJ176" s="1708"/>
      <c r="FK176" s="1708"/>
      <c r="FL176" s="1708"/>
      <c r="FM176" s="1708"/>
      <c r="FN176" s="1708"/>
      <c r="FO176" s="1708"/>
      <c r="FP176" s="1708"/>
      <c r="FQ176" s="1708"/>
      <c r="FR176" s="1708"/>
      <c r="FS176" s="1708"/>
      <c r="FT176" s="1708"/>
      <c r="FU176" s="1708"/>
      <c r="FV176" s="1708"/>
      <c r="FW176" s="1708"/>
      <c r="FX176" s="1708"/>
      <c r="FY176" s="1708"/>
      <c r="FZ176" s="1708"/>
      <c r="GA176" s="1708"/>
      <c r="GB176" s="1708"/>
      <c r="GC176" s="1708"/>
      <c r="GD176" s="1708"/>
      <c r="GE176" s="1708"/>
      <c r="GF176" s="1708"/>
      <c r="GG176" s="1708"/>
      <c r="GH176" s="1708"/>
      <c r="GI176" s="1708"/>
      <c r="GJ176" s="1708"/>
      <c r="GK176" s="1708"/>
      <c r="GL176" s="1708"/>
      <c r="GM176" s="1708"/>
      <c r="GN176" s="1708"/>
      <c r="GO176" s="1708"/>
      <c r="GP176" s="1708"/>
      <c r="GQ176" s="1708"/>
      <c r="GR176" s="1708"/>
      <c r="GS176" s="1708"/>
      <c r="GT176" s="1708"/>
      <c r="GU176" s="1708"/>
      <c r="GV176" s="1708"/>
      <c r="GW176" s="1708"/>
      <c r="GX176" s="1708"/>
      <c r="GY176" s="1708"/>
      <c r="GZ176" s="1708"/>
      <c r="HA176" s="1708"/>
      <c r="HB176" s="1708"/>
      <c r="HC176" s="1708"/>
      <c r="HD176" s="1708"/>
      <c r="HE176" s="1708"/>
      <c r="HF176" s="1708"/>
      <c r="HG176" s="1708"/>
      <c r="HH176" s="1708"/>
      <c r="HI176" s="1708"/>
      <c r="HJ176" s="1708"/>
      <c r="HK176" s="1708"/>
      <c r="HL176" s="1708"/>
      <c r="HM176" s="1708"/>
      <c r="HN176" s="1708"/>
      <c r="HO176" s="1708"/>
      <c r="HP176" s="1708"/>
      <c r="HQ176" s="1708"/>
      <c r="HR176" s="1708"/>
      <c r="HS176" s="1708"/>
      <c r="HT176" s="1708"/>
      <c r="HU176" s="1708"/>
      <c r="HV176" s="1708"/>
      <c r="HW176" s="1708"/>
      <c r="HX176" s="1708"/>
      <c r="HY176" s="1708"/>
      <c r="HZ176" s="1708"/>
      <c r="IA176" s="1708"/>
      <c r="IB176" s="1708"/>
      <c r="IC176" s="1708"/>
      <c r="ID176" s="1708"/>
      <c r="IE176" s="1708"/>
      <c r="IF176" s="1708"/>
      <c r="IG176" s="1708"/>
      <c r="IH176" s="1708"/>
      <c r="II176" s="1708"/>
      <c r="IJ176" s="1708"/>
      <c r="IK176" s="1708"/>
      <c r="IL176" s="1708"/>
      <c r="IM176" s="1708"/>
      <c r="IN176" s="1708"/>
      <c r="IO176" s="1708"/>
      <c r="IP176" s="1708"/>
      <c r="IQ176" s="1708"/>
      <c r="IR176" s="1708"/>
      <c r="IS176" s="1708"/>
      <c r="IT176" s="1708"/>
      <c r="IU176" s="1708"/>
      <c r="IV176" s="1708"/>
    </row>
    <row r="177" spans="2:256" s="57" customFormat="1" x14ac:dyDescent="0.25">
      <c r="B177" s="1836"/>
      <c r="G177" s="1849"/>
      <c r="J177" s="1850"/>
      <c r="K177" s="1850"/>
      <c r="S177" s="1708"/>
      <c r="T177" s="1708"/>
      <c r="U177" s="1708"/>
      <c r="V177" s="1708"/>
      <c r="W177" s="1708"/>
      <c r="X177" s="1708"/>
      <c r="Y177" s="1708"/>
      <c r="Z177" s="1708"/>
      <c r="AA177" s="1708"/>
      <c r="AB177" s="1708"/>
      <c r="AC177" s="1708"/>
      <c r="AD177" s="1708"/>
      <c r="AE177" s="1708"/>
      <c r="AF177" s="1708"/>
      <c r="AG177" s="1708"/>
      <c r="AH177" s="1708"/>
      <c r="AI177" s="1708"/>
      <c r="AJ177" s="1708"/>
      <c r="AK177" s="1708"/>
      <c r="AL177" s="1708"/>
      <c r="AM177" s="1708"/>
      <c r="AN177" s="1708"/>
      <c r="AO177" s="1708"/>
      <c r="AP177" s="1708"/>
      <c r="AQ177" s="1708"/>
      <c r="AR177" s="1708"/>
      <c r="AS177" s="1708"/>
      <c r="AT177" s="1708"/>
      <c r="AU177" s="1708"/>
      <c r="AV177" s="1708"/>
      <c r="AW177" s="1708"/>
      <c r="AX177" s="1708"/>
      <c r="AY177" s="1708"/>
      <c r="AZ177" s="1708"/>
      <c r="BA177" s="1708"/>
      <c r="BB177" s="1708"/>
      <c r="BC177" s="1708"/>
      <c r="BD177" s="1708"/>
      <c r="BE177" s="1708"/>
      <c r="BF177" s="1708"/>
      <c r="BG177" s="1708"/>
      <c r="BH177" s="1708"/>
      <c r="BI177" s="1708"/>
      <c r="BJ177" s="1708"/>
      <c r="BK177" s="1708"/>
      <c r="BL177" s="1708"/>
      <c r="BM177" s="1708"/>
      <c r="BN177" s="1708"/>
      <c r="BO177" s="1708"/>
      <c r="BP177" s="1708"/>
      <c r="BQ177" s="1708"/>
      <c r="BR177" s="1708"/>
      <c r="BS177" s="1708"/>
      <c r="BT177" s="1708"/>
      <c r="BU177" s="1708"/>
      <c r="BV177" s="1708"/>
      <c r="BW177" s="1708"/>
      <c r="BX177" s="1708"/>
      <c r="BY177" s="1708"/>
      <c r="BZ177" s="1708"/>
      <c r="CA177" s="1708"/>
      <c r="CB177" s="1708"/>
      <c r="CC177" s="1708"/>
      <c r="CD177" s="1708"/>
      <c r="CE177" s="1708"/>
      <c r="CF177" s="1708"/>
      <c r="CG177" s="1708"/>
      <c r="CH177" s="1708"/>
      <c r="CI177" s="1708"/>
      <c r="CJ177" s="1708"/>
      <c r="CK177" s="1708"/>
      <c r="CL177" s="1708"/>
      <c r="CM177" s="1708"/>
      <c r="CN177" s="1708"/>
      <c r="CO177" s="1708"/>
      <c r="CP177" s="1708"/>
      <c r="CQ177" s="1708"/>
      <c r="CR177" s="1708"/>
      <c r="CS177" s="1708"/>
      <c r="CT177" s="1708"/>
      <c r="CU177" s="1708"/>
      <c r="CV177" s="1708"/>
      <c r="CW177" s="1708"/>
      <c r="CX177" s="1708"/>
      <c r="CY177" s="1708"/>
      <c r="CZ177" s="1708"/>
      <c r="DA177" s="1708"/>
      <c r="DB177" s="1708"/>
      <c r="DC177" s="1708"/>
      <c r="DD177" s="1708"/>
      <c r="DE177" s="1708"/>
      <c r="DF177" s="1708"/>
      <c r="DG177" s="1708"/>
      <c r="DH177" s="1708"/>
      <c r="DI177" s="1708"/>
      <c r="DJ177" s="1708"/>
      <c r="DK177" s="1708"/>
      <c r="DL177" s="1708"/>
      <c r="DM177" s="1708"/>
      <c r="DN177" s="1708"/>
      <c r="DO177" s="1708"/>
      <c r="DP177" s="1708"/>
      <c r="DQ177" s="1708"/>
      <c r="DR177" s="1708"/>
      <c r="DS177" s="1708"/>
      <c r="DT177" s="1708"/>
      <c r="DU177" s="1708"/>
      <c r="DV177" s="1708"/>
      <c r="DW177" s="1708"/>
      <c r="DX177" s="1708"/>
      <c r="DY177" s="1708"/>
      <c r="DZ177" s="1708"/>
      <c r="EA177" s="1708"/>
      <c r="EB177" s="1708"/>
      <c r="EC177" s="1708"/>
      <c r="ED177" s="1708"/>
      <c r="EE177" s="1708"/>
      <c r="EF177" s="1708"/>
      <c r="EG177" s="1708"/>
      <c r="EH177" s="1708"/>
      <c r="EI177" s="1708"/>
      <c r="EJ177" s="1708"/>
      <c r="EK177" s="1708"/>
      <c r="EL177" s="1708"/>
      <c r="EM177" s="1708"/>
      <c r="EN177" s="1708"/>
      <c r="EO177" s="1708"/>
      <c r="EP177" s="1708"/>
      <c r="EQ177" s="1708"/>
      <c r="ER177" s="1708"/>
      <c r="ES177" s="1708"/>
      <c r="ET177" s="1708"/>
      <c r="EU177" s="1708"/>
      <c r="EV177" s="1708"/>
      <c r="EW177" s="1708"/>
      <c r="EX177" s="1708"/>
      <c r="EY177" s="1708"/>
      <c r="EZ177" s="1708"/>
      <c r="FA177" s="1708"/>
      <c r="FB177" s="1708"/>
      <c r="FC177" s="1708"/>
      <c r="FD177" s="1708"/>
      <c r="FE177" s="1708"/>
      <c r="FF177" s="1708"/>
      <c r="FG177" s="1708"/>
      <c r="FH177" s="1708"/>
      <c r="FI177" s="1708"/>
      <c r="FJ177" s="1708"/>
      <c r="FK177" s="1708"/>
      <c r="FL177" s="1708"/>
      <c r="FM177" s="1708"/>
      <c r="FN177" s="1708"/>
      <c r="FO177" s="1708"/>
      <c r="FP177" s="1708"/>
      <c r="FQ177" s="1708"/>
      <c r="FR177" s="1708"/>
      <c r="FS177" s="1708"/>
      <c r="FT177" s="1708"/>
      <c r="FU177" s="1708"/>
      <c r="FV177" s="1708"/>
      <c r="FW177" s="1708"/>
      <c r="FX177" s="1708"/>
      <c r="FY177" s="1708"/>
      <c r="FZ177" s="1708"/>
      <c r="GA177" s="1708"/>
      <c r="GB177" s="1708"/>
      <c r="GC177" s="1708"/>
      <c r="GD177" s="1708"/>
      <c r="GE177" s="1708"/>
      <c r="GF177" s="1708"/>
      <c r="GG177" s="1708"/>
      <c r="GH177" s="1708"/>
      <c r="GI177" s="1708"/>
      <c r="GJ177" s="1708"/>
      <c r="GK177" s="1708"/>
      <c r="GL177" s="1708"/>
      <c r="GM177" s="1708"/>
      <c r="GN177" s="1708"/>
      <c r="GO177" s="1708"/>
      <c r="GP177" s="1708"/>
      <c r="GQ177" s="1708"/>
      <c r="GR177" s="1708"/>
      <c r="GS177" s="1708"/>
      <c r="GT177" s="1708"/>
      <c r="GU177" s="1708"/>
      <c r="GV177" s="1708"/>
      <c r="GW177" s="1708"/>
      <c r="GX177" s="1708"/>
      <c r="GY177" s="1708"/>
      <c r="GZ177" s="1708"/>
      <c r="HA177" s="1708"/>
      <c r="HB177" s="1708"/>
      <c r="HC177" s="1708"/>
      <c r="HD177" s="1708"/>
      <c r="HE177" s="1708"/>
      <c r="HF177" s="1708"/>
      <c r="HG177" s="1708"/>
      <c r="HH177" s="1708"/>
      <c r="HI177" s="1708"/>
      <c r="HJ177" s="1708"/>
      <c r="HK177" s="1708"/>
      <c r="HL177" s="1708"/>
      <c r="HM177" s="1708"/>
      <c r="HN177" s="1708"/>
      <c r="HO177" s="1708"/>
      <c r="HP177" s="1708"/>
      <c r="HQ177" s="1708"/>
      <c r="HR177" s="1708"/>
      <c r="HS177" s="1708"/>
      <c r="HT177" s="1708"/>
      <c r="HU177" s="1708"/>
      <c r="HV177" s="1708"/>
      <c r="HW177" s="1708"/>
      <c r="HX177" s="1708"/>
      <c r="HY177" s="1708"/>
      <c r="HZ177" s="1708"/>
      <c r="IA177" s="1708"/>
      <c r="IB177" s="1708"/>
      <c r="IC177" s="1708"/>
      <c r="ID177" s="1708"/>
      <c r="IE177" s="1708"/>
      <c r="IF177" s="1708"/>
      <c r="IG177" s="1708"/>
      <c r="IH177" s="1708"/>
      <c r="II177" s="1708"/>
      <c r="IJ177" s="1708"/>
      <c r="IK177" s="1708"/>
      <c r="IL177" s="1708"/>
      <c r="IM177" s="1708"/>
      <c r="IN177" s="1708"/>
      <c r="IO177" s="1708"/>
      <c r="IP177" s="1708"/>
      <c r="IQ177" s="1708"/>
      <c r="IR177" s="1708"/>
      <c r="IS177" s="1708"/>
      <c r="IT177" s="1708"/>
      <c r="IU177" s="1708"/>
      <c r="IV177" s="1708"/>
    </row>
    <row r="178" spans="2:256" s="57" customFormat="1" x14ac:dyDescent="0.25">
      <c r="B178" s="1836"/>
      <c r="G178" s="1849"/>
      <c r="J178" s="1850"/>
      <c r="K178" s="1850"/>
      <c r="S178" s="1708"/>
      <c r="T178" s="1708"/>
      <c r="U178" s="1708"/>
      <c r="V178" s="1708"/>
      <c r="W178" s="1708"/>
      <c r="X178" s="1708"/>
      <c r="Y178" s="1708"/>
      <c r="Z178" s="1708"/>
      <c r="AA178" s="1708"/>
      <c r="AB178" s="1708"/>
      <c r="AC178" s="1708"/>
      <c r="AD178" s="1708"/>
      <c r="AE178" s="1708"/>
      <c r="AF178" s="1708"/>
      <c r="AG178" s="1708"/>
      <c r="AH178" s="1708"/>
      <c r="AI178" s="1708"/>
      <c r="AJ178" s="1708"/>
      <c r="AK178" s="1708"/>
      <c r="AL178" s="1708"/>
      <c r="AM178" s="1708"/>
      <c r="AN178" s="1708"/>
      <c r="AO178" s="1708"/>
      <c r="AP178" s="1708"/>
      <c r="AQ178" s="1708"/>
      <c r="AR178" s="1708"/>
      <c r="AS178" s="1708"/>
      <c r="AT178" s="1708"/>
      <c r="AU178" s="1708"/>
      <c r="AV178" s="1708"/>
      <c r="AW178" s="1708"/>
      <c r="AX178" s="1708"/>
      <c r="AY178" s="1708"/>
      <c r="AZ178" s="1708"/>
      <c r="BA178" s="1708"/>
      <c r="BB178" s="1708"/>
      <c r="BC178" s="1708"/>
      <c r="BD178" s="1708"/>
      <c r="BE178" s="1708"/>
      <c r="BF178" s="1708"/>
      <c r="BG178" s="1708"/>
      <c r="BH178" s="1708"/>
      <c r="BI178" s="1708"/>
      <c r="BJ178" s="1708"/>
      <c r="BK178" s="1708"/>
      <c r="BL178" s="1708"/>
      <c r="BM178" s="1708"/>
      <c r="BN178" s="1708"/>
      <c r="BO178" s="1708"/>
      <c r="BP178" s="1708"/>
      <c r="BQ178" s="1708"/>
      <c r="BR178" s="1708"/>
      <c r="BS178" s="1708"/>
      <c r="BT178" s="1708"/>
      <c r="BU178" s="1708"/>
      <c r="BV178" s="1708"/>
      <c r="BW178" s="1708"/>
      <c r="BX178" s="1708"/>
      <c r="BY178" s="1708"/>
      <c r="BZ178" s="1708"/>
      <c r="CA178" s="1708"/>
      <c r="CB178" s="1708"/>
      <c r="CC178" s="1708"/>
      <c r="CD178" s="1708"/>
      <c r="CE178" s="1708"/>
      <c r="CF178" s="1708"/>
      <c r="CG178" s="1708"/>
      <c r="CH178" s="1708"/>
      <c r="CI178" s="1708"/>
      <c r="CJ178" s="1708"/>
      <c r="CK178" s="1708"/>
      <c r="CL178" s="1708"/>
      <c r="CM178" s="1708"/>
      <c r="CN178" s="1708"/>
      <c r="CO178" s="1708"/>
      <c r="CP178" s="1708"/>
      <c r="CQ178" s="1708"/>
      <c r="CR178" s="1708"/>
      <c r="CS178" s="1708"/>
      <c r="CT178" s="1708"/>
      <c r="CU178" s="1708"/>
      <c r="CV178" s="1708"/>
      <c r="CW178" s="1708"/>
      <c r="CX178" s="1708"/>
      <c r="CY178" s="1708"/>
      <c r="CZ178" s="1708"/>
      <c r="DA178" s="1708"/>
      <c r="DB178" s="1708"/>
      <c r="DC178" s="1708"/>
      <c r="DD178" s="1708"/>
      <c r="DE178" s="1708"/>
      <c r="DF178" s="1708"/>
      <c r="DG178" s="1708"/>
      <c r="DH178" s="1708"/>
      <c r="DI178" s="1708"/>
      <c r="DJ178" s="1708"/>
      <c r="DK178" s="1708"/>
      <c r="DL178" s="1708"/>
      <c r="DM178" s="1708"/>
      <c r="DN178" s="1708"/>
      <c r="DO178" s="1708"/>
      <c r="DP178" s="1708"/>
      <c r="DQ178" s="1708"/>
      <c r="DR178" s="1708"/>
      <c r="DS178" s="1708"/>
      <c r="DT178" s="1708"/>
      <c r="DU178" s="1708"/>
      <c r="DV178" s="1708"/>
      <c r="DW178" s="1708"/>
      <c r="DX178" s="1708"/>
      <c r="DY178" s="1708"/>
      <c r="DZ178" s="1708"/>
      <c r="EA178" s="1708"/>
      <c r="EB178" s="1708"/>
      <c r="EC178" s="1708"/>
      <c r="ED178" s="1708"/>
      <c r="EE178" s="1708"/>
      <c r="EF178" s="1708"/>
      <c r="EG178" s="1708"/>
      <c r="EH178" s="1708"/>
      <c r="EI178" s="1708"/>
      <c r="EJ178" s="1708"/>
      <c r="EK178" s="1708"/>
      <c r="EL178" s="1708"/>
      <c r="EM178" s="1708"/>
      <c r="EN178" s="1708"/>
      <c r="EO178" s="1708"/>
      <c r="EP178" s="1708"/>
      <c r="EQ178" s="1708"/>
      <c r="ER178" s="1708"/>
      <c r="ES178" s="1708"/>
      <c r="ET178" s="1708"/>
      <c r="EU178" s="1708"/>
      <c r="EV178" s="1708"/>
      <c r="EW178" s="1708"/>
      <c r="EX178" s="1708"/>
      <c r="EY178" s="1708"/>
      <c r="EZ178" s="1708"/>
      <c r="FA178" s="1708"/>
      <c r="FB178" s="1708"/>
      <c r="FC178" s="1708"/>
      <c r="FD178" s="1708"/>
      <c r="FE178" s="1708"/>
      <c r="FF178" s="1708"/>
      <c r="FG178" s="1708"/>
      <c r="FH178" s="1708"/>
      <c r="FI178" s="1708"/>
      <c r="FJ178" s="1708"/>
      <c r="FK178" s="1708"/>
      <c r="FL178" s="1708"/>
      <c r="FM178" s="1708"/>
      <c r="FN178" s="1708"/>
      <c r="FO178" s="1708"/>
      <c r="FP178" s="1708"/>
      <c r="FQ178" s="1708"/>
      <c r="FR178" s="1708"/>
      <c r="FS178" s="1708"/>
      <c r="FT178" s="1708"/>
      <c r="FU178" s="1708"/>
      <c r="FV178" s="1708"/>
      <c r="FW178" s="1708"/>
      <c r="FX178" s="1708"/>
      <c r="FY178" s="1708"/>
      <c r="FZ178" s="1708"/>
      <c r="GA178" s="1708"/>
      <c r="GB178" s="1708"/>
      <c r="GC178" s="1708"/>
      <c r="GD178" s="1708"/>
      <c r="GE178" s="1708"/>
      <c r="GF178" s="1708"/>
      <c r="GG178" s="1708"/>
      <c r="GH178" s="1708"/>
      <c r="GI178" s="1708"/>
      <c r="GJ178" s="1708"/>
      <c r="GK178" s="1708"/>
      <c r="GL178" s="1708"/>
      <c r="GM178" s="1708"/>
      <c r="GN178" s="1708"/>
      <c r="GO178" s="1708"/>
      <c r="GP178" s="1708"/>
      <c r="GQ178" s="1708"/>
      <c r="GR178" s="1708"/>
      <c r="GS178" s="1708"/>
      <c r="GT178" s="1708"/>
      <c r="GU178" s="1708"/>
      <c r="GV178" s="1708"/>
      <c r="GW178" s="1708"/>
      <c r="GX178" s="1708"/>
      <c r="GY178" s="1708"/>
      <c r="GZ178" s="1708"/>
      <c r="HA178" s="1708"/>
      <c r="HB178" s="1708"/>
      <c r="HC178" s="1708"/>
      <c r="HD178" s="1708"/>
      <c r="HE178" s="1708"/>
      <c r="HF178" s="1708"/>
      <c r="HG178" s="1708"/>
      <c r="HH178" s="1708"/>
      <c r="HI178" s="1708"/>
      <c r="HJ178" s="1708"/>
      <c r="HK178" s="1708"/>
      <c r="HL178" s="1708"/>
      <c r="HM178" s="1708"/>
      <c r="HN178" s="1708"/>
      <c r="HO178" s="1708"/>
      <c r="HP178" s="1708"/>
      <c r="HQ178" s="1708"/>
      <c r="HR178" s="1708"/>
      <c r="HS178" s="1708"/>
      <c r="HT178" s="1708"/>
      <c r="HU178" s="1708"/>
      <c r="HV178" s="1708"/>
      <c r="HW178" s="1708"/>
      <c r="HX178" s="1708"/>
      <c r="HY178" s="1708"/>
      <c r="HZ178" s="1708"/>
      <c r="IA178" s="1708"/>
      <c r="IB178" s="1708"/>
      <c r="IC178" s="1708"/>
      <c r="ID178" s="1708"/>
      <c r="IE178" s="1708"/>
      <c r="IF178" s="1708"/>
      <c r="IG178" s="1708"/>
      <c r="IH178" s="1708"/>
      <c r="II178" s="1708"/>
      <c r="IJ178" s="1708"/>
      <c r="IK178" s="1708"/>
      <c r="IL178" s="1708"/>
      <c r="IM178" s="1708"/>
      <c r="IN178" s="1708"/>
      <c r="IO178" s="1708"/>
      <c r="IP178" s="1708"/>
      <c r="IQ178" s="1708"/>
      <c r="IR178" s="1708"/>
      <c r="IS178" s="1708"/>
      <c r="IT178" s="1708"/>
      <c r="IU178" s="1708"/>
      <c r="IV178" s="1708"/>
    </row>
    <row r="179" spans="2:256" s="57" customFormat="1" x14ac:dyDescent="0.25">
      <c r="B179" s="1836"/>
      <c r="G179" s="1849"/>
      <c r="J179" s="1850"/>
      <c r="K179" s="1850"/>
      <c r="S179" s="1708"/>
      <c r="T179" s="1708"/>
      <c r="U179" s="1708"/>
      <c r="V179" s="1708"/>
      <c r="W179" s="1708"/>
      <c r="X179" s="1708"/>
      <c r="Y179" s="1708"/>
      <c r="Z179" s="1708"/>
      <c r="AA179" s="1708"/>
      <c r="AB179" s="1708"/>
      <c r="AC179" s="1708"/>
      <c r="AD179" s="1708"/>
      <c r="AE179" s="1708"/>
      <c r="AF179" s="1708"/>
      <c r="AG179" s="1708"/>
      <c r="AH179" s="1708"/>
      <c r="AI179" s="1708"/>
      <c r="AJ179" s="1708"/>
      <c r="AK179" s="1708"/>
      <c r="AL179" s="1708"/>
      <c r="AM179" s="1708"/>
      <c r="AN179" s="1708"/>
      <c r="AO179" s="1708"/>
      <c r="AP179" s="1708"/>
      <c r="AQ179" s="1708"/>
      <c r="AR179" s="1708"/>
      <c r="AS179" s="1708"/>
      <c r="AT179" s="1708"/>
      <c r="AU179" s="1708"/>
      <c r="AV179" s="1708"/>
      <c r="AW179" s="1708"/>
      <c r="AX179" s="1708"/>
      <c r="AY179" s="1708"/>
      <c r="AZ179" s="1708"/>
      <c r="BA179" s="1708"/>
      <c r="BB179" s="1708"/>
      <c r="BC179" s="1708"/>
      <c r="BD179" s="1708"/>
      <c r="BE179" s="1708"/>
      <c r="BF179" s="1708"/>
      <c r="BG179" s="1708"/>
      <c r="BH179" s="1708"/>
      <c r="BI179" s="1708"/>
      <c r="BJ179" s="1708"/>
      <c r="BK179" s="1708"/>
      <c r="BL179" s="1708"/>
      <c r="BM179" s="1708"/>
      <c r="BN179" s="1708"/>
      <c r="BO179" s="1708"/>
      <c r="BP179" s="1708"/>
      <c r="BQ179" s="1708"/>
      <c r="BR179" s="1708"/>
      <c r="BS179" s="1708"/>
      <c r="BT179" s="1708"/>
      <c r="BU179" s="1708"/>
      <c r="BV179" s="1708"/>
      <c r="BW179" s="1708"/>
      <c r="BX179" s="1708"/>
      <c r="BY179" s="1708"/>
      <c r="BZ179" s="1708"/>
      <c r="CA179" s="1708"/>
      <c r="CB179" s="1708"/>
      <c r="CC179" s="1708"/>
      <c r="CD179" s="1708"/>
      <c r="CE179" s="1708"/>
      <c r="CF179" s="1708"/>
      <c r="CG179" s="1708"/>
      <c r="CH179" s="1708"/>
      <c r="CI179" s="1708"/>
      <c r="CJ179" s="1708"/>
      <c r="CK179" s="1708"/>
      <c r="CL179" s="1708"/>
      <c r="CM179" s="1708"/>
      <c r="CN179" s="1708"/>
      <c r="CO179" s="1708"/>
      <c r="CP179" s="1708"/>
      <c r="CQ179" s="1708"/>
      <c r="CR179" s="1708"/>
      <c r="CS179" s="1708"/>
      <c r="CT179" s="1708"/>
      <c r="CU179" s="1708"/>
      <c r="CV179" s="1708"/>
      <c r="CW179" s="1708"/>
      <c r="CX179" s="1708"/>
      <c r="CY179" s="1708"/>
      <c r="CZ179" s="1708"/>
      <c r="DA179" s="1708"/>
      <c r="DB179" s="1708"/>
      <c r="DC179" s="1708"/>
      <c r="DD179" s="1708"/>
      <c r="DE179" s="1708"/>
      <c r="DF179" s="1708"/>
      <c r="DG179" s="1708"/>
      <c r="DH179" s="1708"/>
      <c r="DI179" s="1708"/>
      <c r="DJ179" s="1708"/>
      <c r="DK179" s="1708"/>
      <c r="DL179" s="1708"/>
      <c r="DM179" s="1708"/>
      <c r="DN179" s="1708"/>
      <c r="DO179" s="1708"/>
      <c r="DP179" s="1708"/>
      <c r="DQ179" s="1708"/>
      <c r="DR179" s="1708"/>
      <c r="DS179" s="1708"/>
      <c r="DT179" s="1708"/>
      <c r="DU179" s="1708"/>
      <c r="DV179" s="1708"/>
      <c r="DW179" s="1708"/>
      <c r="DX179" s="1708"/>
      <c r="DY179" s="1708"/>
      <c r="DZ179" s="1708"/>
      <c r="EA179" s="1708"/>
      <c r="EB179" s="1708"/>
      <c r="EC179" s="1708"/>
      <c r="ED179" s="1708"/>
      <c r="EE179" s="1708"/>
      <c r="EF179" s="1708"/>
      <c r="EG179" s="1708"/>
      <c r="EH179" s="1708"/>
      <c r="EI179" s="1708"/>
      <c r="EJ179" s="1708"/>
      <c r="EK179" s="1708"/>
      <c r="EL179" s="1708"/>
      <c r="EM179" s="1708"/>
      <c r="EN179" s="1708"/>
      <c r="EO179" s="1708"/>
      <c r="EP179" s="1708"/>
      <c r="EQ179" s="1708"/>
      <c r="ER179" s="1708"/>
      <c r="ES179" s="1708"/>
      <c r="ET179" s="1708"/>
      <c r="EU179" s="1708"/>
      <c r="EV179" s="1708"/>
      <c r="EW179" s="1708"/>
      <c r="EX179" s="1708"/>
      <c r="EY179" s="1708"/>
      <c r="EZ179" s="1708"/>
      <c r="FA179" s="1708"/>
      <c r="FB179" s="1708"/>
      <c r="FC179" s="1708"/>
      <c r="FD179" s="1708"/>
      <c r="FE179" s="1708"/>
      <c r="FF179" s="1708"/>
      <c r="FG179" s="1708"/>
      <c r="FH179" s="1708"/>
      <c r="FI179" s="1708"/>
      <c r="FJ179" s="1708"/>
      <c r="FK179" s="1708"/>
      <c r="FL179" s="1708"/>
      <c r="FM179" s="1708"/>
      <c r="FN179" s="1708"/>
      <c r="FO179" s="1708"/>
      <c r="FP179" s="1708"/>
      <c r="FQ179" s="1708"/>
      <c r="FR179" s="1708"/>
      <c r="FS179" s="1708"/>
      <c r="FT179" s="1708"/>
      <c r="FU179" s="1708"/>
      <c r="FV179" s="1708"/>
      <c r="FW179" s="1708"/>
      <c r="FX179" s="1708"/>
      <c r="FY179" s="1708"/>
      <c r="FZ179" s="1708"/>
      <c r="GA179" s="1708"/>
      <c r="GB179" s="1708"/>
      <c r="GC179" s="1708"/>
      <c r="GD179" s="1708"/>
      <c r="GE179" s="1708"/>
      <c r="GF179" s="1708"/>
      <c r="GG179" s="1708"/>
      <c r="GH179" s="1708"/>
      <c r="GI179" s="1708"/>
      <c r="GJ179" s="1708"/>
      <c r="GK179" s="1708"/>
      <c r="GL179" s="1708"/>
      <c r="GM179" s="1708"/>
      <c r="GN179" s="1708"/>
      <c r="GO179" s="1708"/>
      <c r="GP179" s="1708"/>
      <c r="GQ179" s="1708"/>
      <c r="GR179" s="1708"/>
      <c r="GS179" s="1708"/>
      <c r="GT179" s="1708"/>
      <c r="GU179" s="1708"/>
      <c r="GV179" s="1708"/>
      <c r="GW179" s="1708"/>
      <c r="GX179" s="1708"/>
      <c r="GY179" s="1708"/>
      <c r="GZ179" s="1708"/>
      <c r="HA179" s="1708"/>
      <c r="HB179" s="1708"/>
      <c r="HC179" s="1708"/>
      <c r="HD179" s="1708"/>
      <c r="HE179" s="1708"/>
      <c r="HF179" s="1708"/>
      <c r="HG179" s="1708"/>
      <c r="HH179" s="1708"/>
      <c r="HI179" s="1708"/>
      <c r="HJ179" s="1708"/>
      <c r="HK179" s="1708"/>
      <c r="HL179" s="1708"/>
      <c r="HM179" s="1708"/>
      <c r="HN179" s="1708"/>
      <c r="HO179" s="1708"/>
      <c r="HP179" s="1708"/>
      <c r="HQ179" s="1708"/>
      <c r="HR179" s="1708"/>
      <c r="HS179" s="1708"/>
      <c r="HT179" s="1708"/>
      <c r="HU179" s="1708"/>
      <c r="HV179" s="1708"/>
      <c r="HW179" s="1708"/>
      <c r="HX179" s="1708"/>
      <c r="HY179" s="1708"/>
      <c r="HZ179" s="1708"/>
      <c r="IA179" s="1708"/>
      <c r="IB179" s="1708"/>
      <c r="IC179" s="1708"/>
      <c r="ID179" s="1708"/>
      <c r="IE179" s="1708"/>
      <c r="IF179" s="1708"/>
      <c r="IG179" s="1708"/>
      <c r="IH179" s="1708"/>
      <c r="II179" s="1708"/>
      <c r="IJ179" s="1708"/>
      <c r="IK179" s="1708"/>
      <c r="IL179" s="1708"/>
      <c r="IM179" s="1708"/>
      <c r="IN179" s="1708"/>
      <c r="IO179" s="1708"/>
      <c r="IP179" s="1708"/>
      <c r="IQ179" s="1708"/>
      <c r="IR179" s="1708"/>
      <c r="IS179" s="1708"/>
      <c r="IT179" s="1708"/>
      <c r="IU179" s="1708"/>
      <c r="IV179" s="1708"/>
    </row>
    <row r="180" spans="2:256" s="57" customFormat="1" x14ac:dyDescent="0.25">
      <c r="B180" s="1836"/>
      <c r="G180" s="1849"/>
      <c r="J180" s="1850"/>
      <c r="K180" s="1850"/>
      <c r="S180" s="1708"/>
      <c r="T180" s="1708"/>
      <c r="U180" s="1708"/>
      <c r="V180" s="1708"/>
      <c r="W180" s="1708"/>
      <c r="X180" s="1708"/>
      <c r="Y180" s="1708"/>
      <c r="Z180" s="1708"/>
      <c r="AA180" s="1708"/>
      <c r="AB180" s="1708"/>
      <c r="AC180" s="1708"/>
      <c r="AD180" s="1708"/>
      <c r="AE180" s="1708"/>
      <c r="AF180" s="1708"/>
      <c r="AG180" s="1708"/>
      <c r="AH180" s="1708"/>
      <c r="AI180" s="1708"/>
      <c r="AJ180" s="1708"/>
      <c r="AK180" s="1708"/>
      <c r="AL180" s="1708"/>
      <c r="AM180" s="1708"/>
      <c r="AN180" s="1708"/>
      <c r="AO180" s="1708"/>
      <c r="AP180" s="1708"/>
      <c r="AQ180" s="1708"/>
      <c r="AR180" s="1708"/>
      <c r="AS180" s="1708"/>
      <c r="AT180" s="1708"/>
      <c r="AU180" s="1708"/>
      <c r="AV180" s="1708"/>
      <c r="AW180" s="1708"/>
      <c r="AX180" s="1708"/>
      <c r="AY180" s="1708"/>
      <c r="AZ180" s="1708"/>
      <c r="BA180" s="1708"/>
      <c r="BB180" s="1708"/>
      <c r="BC180" s="1708"/>
      <c r="BD180" s="1708"/>
      <c r="BE180" s="1708"/>
      <c r="BF180" s="1708"/>
      <c r="BG180" s="1708"/>
      <c r="BH180" s="1708"/>
      <c r="BI180" s="1708"/>
      <c r="BJ180" s="1708"/>
      <c r="BK180" s="1708"/>
      <c r="BL180" s="1708"/>
      <c r="BM180" s="1708"/>
      <c r="BN180" s="1708"/>
      <c r="BO180" s="1708"/>
      <c r="BP180" s="1708"/>
      <c r="BQ180" s="1708"/>
      <c r="BR180" s="1708"/>
      <c r="BS180" s="1708"/>
      <c r="BT180" s="1708"/>
      <c r="BU180" s="1708"/>
      <c r="BV180" s="1708"/>
      <c r="BW180" s="1708"/>
      <c r="BX180" s="1708"/>
      <c r="BY180" s="1708"/>
      <c r="BZ180" s="1708"/>
      <c r="CA180" s="1708"/>
      <c r="CB180" s="1708"/>
      <c r="CC180" s="1708"/>
      <c r="CD180" s="1708"/>
      <c r="CE180" s="1708"/>
      <c r="CF180" s="1708"/>
      <c r="CG180" s="1708"/>
      <c r="CH180" s="1708"/>
      <c r="CI180" s="1708"/>
      <c r="CJ180" s="1708"/>
      <c r="CK180" s="1708"/>
      <c r="CL180" s="1708"/>
      <c r="CM180" s="1708"/>
      <c r="CN180" s="1708"/>
      <c r="CO180" s="1708"/>
      <c r="CP180" s="1708"/>
      <c r="CQ180" s="1708"/>
      <c r="CR180" s="1708"/>
      <c r="CS180" s="1708"/>
      <c r="CT180" s="1708"/>
      <c r="CU180" s="1708"/>
      <c r="CV180" s="1708"/>
      <c r="CW180" s="1708"/>
      <c r="CX180" s="1708"/>
      <c r="CY180" s="1708"/>
      <c r="CZ180" s="1708"/>
      <c r="DA180" s="1708"/>
      <c r="DB180" s="1708"/>
      <c r="DC180" s="1708"/>
      <c r="DD180" s="1708"/>
      <c r="DE180" s="1708"/>
      <c r="DF180" s="1708"/>
      <c r="DG180" s="1708"/>
      <c r="DH180" s="1708"/>
      <c r="DI180" s="1708"/>
      <c r="DJ180" s="1708"/>
      <c r="DK180" s="1708"/>
      <c r="DL180" s="1708"/>
      <c r="DM180" s="1708"/>
      <c r="DN180" s="1708"/>
      <c r="DO180" s="1708"/>
      <c r="DP180" s="1708"/>
      <c r="DQ180" s="1708"/>
      <c r="DR180" s="1708"/>
      <c r="DS180" s="1708"/>
      <c r="DT180" s="1708"/>
      <c r="DU180" s="1708"/>
      <c r="DV180" s="1708"/>
      <c r="DW180" s="1708"/>
      <c r="DX180" s="1708"/>
      <c r="DY180" s="1708"/>
      <c r="DZ180" s="1708"/>
      <c r="EA180" s="1708"/>
      <c r="EB180" s="1708"/>
      <c r="EC180" s="1708"/>
      <c r="ED180" s="1708"/>
      <c r="EE180" s="1708"/>
      <c r="EF180" s="1708"/>
      <c r="EG180" s="1708"/>
      <c r="EH180" s="1708"/>
      <c r="EI180" s="1708"/>
      <c r="EJ180" s="1708"/>
      <c r="EK180" s="1708"/>
      <c r="EL180" s="1708"/>
      <c r="EM180" s="1708"/>
      <c r="EN180" s="1708"/>
      <c r="EO180" s="1708"/>
      <c r="EP180" s="1708"/>
      <c r="EQ180" s="1708"/>
      <c r="ER180" s="1708"/>
      <c r="ES180" s="1708"/>
      <c r="ET180" s="1708"/>
      <c r="EU180" s="1708"/>
      <c r="EV180" s="1708"/>
      <c r="EW180" s="1708"/>
      <c r="EX180" s="1708"/>
      <c r="EY180" s="1708"/>
      <c r="EZ180" s="1708"/>
      <c r="FA180" s="1708"/>
      <c r="FB180" s="1708"/>
      <c r="FC180" s="1708"/>
      <c r="FD180" s="1708"/>
      <c r="FE180" s="1708"/>
      <c r="FF180" s="1708"/>
      <c r="FG180" s="1708"/>
      <c r="FH180" s="1708"/>
      <c r="FI180" s="1708"/>
      <c r="FJ180" s="1708"/>
      <c r="FK180" s="1708"/>
      <c r="FL180" s="1708"/>
      <c r="FM180" s="1708"/>
      <c r="FN180" s="1708"/>
      <c r="FO180" s="1708"/>
      <c r="FP180" s="1708"/>
      <c r="FQ180" s="1708"/>
      <c r="FR180" s="1708"/>
      <c r="FS180" s="1708"/>
      <c r="FT180" s="1708"/>
      <c r="FU180" s="1708"/>
      <c r="FV180" s="1708"/>
      <c r="FW180" s="1708"/>
      <c r="FX180" s="1708"/>
      <c r="FY180" s="1708"/>
      <c r="FZ180" s="1708"/>
      <c r="GA180" s="1708"/>
      <c r="GB180" s="1708"/>
      <c r="GC180" s="1708"/>
      <c r="GD180" s="1708"/>
      <c r="GE180" s="1708"/>
      <c r="GF180" s="1708"/>
      <c r="GG180" s="1708"/>
      <c r="GH180" s="1708"/>
      <c r="GI180" s="1708"/>
      <c r="GJ180" s="1708"/>
      <c r="GK180" s="1708"/>
      <c r="GL180" s="1708"/>
      <c r="GM180" s="1708"/>
      <c r="GN180" s="1708"/>
      <c r="GO180" s="1708"/>
      <c r="GP180" s="1708"/>
      <c r="GQ180" s="1708"/>
      <c r="GR180" s="1708"/>
      <c r="GS180" s="1708"/>
      <c r="GT180" s="1708"/>
      <c r="GU180" s="1708"/>
      <c r="GV180" s="1708"/>
      <c r="GW180" s="1708"/>
      <c r="GX180" s="1708"/>
      <c r="GY180" s="1708"/>
      <c r="GZ180" s="1708"/>
      <c r="HA180" s="1708"/>
      <c r="HB180" s="1708"/>
      <c r="HC180" s="1708"/>
      <c r="HD180" s="1708"/>
      <c r="HE180" s="1708"/>
      <c r="HF180" s="1708"/>
      <c r="HG180" s="1708"/>
      <c r="HH180" s="1708"/>
      <c r="HI180" s="1708"/>
      <c r="HJ180" s="1708"/>
      <c r="HK180" s="1708"/>
      <c r="HL180" s="1708"/>
      <c r="HM180" s="1708"/>
      <c r="HN180" s="1708"/>
      <c r="HO180" s="1708"/>
      <c r="HP180" s="1708"/>
      <c r="HQ180" s="1708"/>
      <c r="HR180" s="1708"/>
      <c r="HS180" s="1708"/>
      <c r="HT180" s="1708"/>
      <c r="HU180" s="1708"/>
      <c r="HV180" s="1708"/>
      <c r="HW180" s="1708"/>
      <c r="HX180" s="1708"/>
      <c r="HY180" s="1708"/>
      <c r="HZ180" s="1708"/>
      <c r="IA180" s="1708"/>
      <c r="IB180" s="1708"/>
      <c r="IC180" s="1708"/>
      <c r="ID180" s="1708"/>
      <c r="IE180" s="1708"/>
      <c r="IF180" s="1708"/>
      <c r="IG180" s="1708"/>
      <c r="IH180" s="1708"/>
      <c r="II180" s="1708"/>
      <c r="IJ180" s="1708"/>
      <c r="IK180" s="1708"/>
      <c r="IL180" s="1708"/>
      <c r="IM180" s="1708"/>
      <c r="IN180" s="1708"/>
      <c r="IO180" s="1708"/>
      <c r="IP180" s="1708"/>
      <c r="IQ180" s="1708"/>
      <c r="IR180" s="1708"/>
      <c r="IS180" s="1708"/>
      <c r="IT180" s="1708"/>
      <c r="IU180" s="1708"/>
      <c r="IV180" s="1708"/>
    </row>
    <row r="181" spans="2:256" s="57" customFormat="1" x14ac:dyDescent="0.25">
      <c r="B181" s="1836"/>
      <c r="G181" s="1849"/>
      <c r="J181" s="1850"/>
      <c r="K181" s="1850"/>
      <c r="S181" s="1708"/>
      <c r="T181" s="1708"/>
      <c r="U181" s="1708"/>
      <c r="V181" s="1708"/>
      <c r="W181" s="1708"/>
      <c r="X181" s="1708"/>
      <c r="Y181" s="1708"/>
      <c r="Z181" s="1708"/>
      <c r="AA181" s="1708"/>
      <c r="AB181" s="1708"/>
      <c r="AC181" s="1708"/>
      <c r="AD181" s="1708"/>
      <c r="AE181" s="1708"/>
      <c r="AF181" s="1708"/>
      <c r="AG181" s="1708"/>
      <c r="AH181" s="1708"/>
      <c r="AI181" s="1708"/>
      <c r="AJ181" s="1708"/>
      <c r="AK181" s="1708"/>
      <c r="AL181" s="1708"/>
      <c r="AM181" s="1708"/>
      <c r="AN181" s="1708"/>
      <c r="AO181" s="1708"/>
      <c r="AP181" s="1708"/>
      <c r="AQ181" s="1708"/>
      <c r="AR181" s="1708"/>
      <c r="AS181" s="1708"/>
      <c r="AT181" s="1708"/>
      <c r="AU181" s="1708"/>
      <c r="AV181" s="1708"/>
      <c r="AW181" s="1708"/>
      <c r="AX181" s="1708"/>
      <c r="AY181" s="1708"/>
      <c r="AZ181" s="1708"/>
      <c r="BA181" s="1708"/>
      <c r="BB181" s="1708"/>
      <c r="BC181" s="1708"/>
      <c r="BD181" s="1708"/>
      <c r="BE181" s="1708"/>
      <c r="BF181" s="1708"/>
      <c r="BG181" s="1708"/>
      <c r="BH181" s="1708"/>
      <c r="BI181" s="1708"/>
      <c r="BJ181" s="1708"/>
      <c r="BK181" s="1708"/>
      <c r="BL181" s="1708"/>
      <c r="BM181" s="1708"/>
      <c r="BN181" s="1708"/>
      <c r="BO181" s="1708"/>
      <c r="BP181" s="1708"/>
      <c r="BQ181" s="1708"/>
      <c r="BR181" s="1708"/>
      <c r="BS181" s="1708"/>
      <c r="BT181" s="1708"/>
      <c r="BU181" s="1708"/>
      <c r="BV181" s="1708"/>
      <c r="BW181" s="1708"/>
      <c r="BX181" s="1708"/>
      <c r="BY181" s="1708"/>
      <c r="BZ181" s="1708"/>
      <c r="CA181" s="1708"/>
      <c r="CB181" s="1708"/>
      <c r="CC181" s="1708"/>
      <c r="CD181" s="1708"/>
      <c r="CE181" s="1708"/>
      <c r="CF181" s="1708"/>
      <c r="CG181" s="1708"/>
      <c r="CH181" s="1708"/>
      <c r="CI181" s="1708"/>
      <c r="CJ181" s="1708"/>
      <c r="CK181" s="1708"/>
      <c r="CL181" s="1708"/>
      <c r="CM181" s="1708"/>
      <c r="CN181" s="1708"/>
      <c r="CO181" s="1708"/>
      <c r="CP181" s="1708"/>
      <c r="CQ181" s="1708"/>
      <c r="CR181" s="1708"/>
      <c r="CS181" s="1708"/>
      <c r="CT181" s="1708"/>
      <c r="CU181" s="1708"/>
      <c r="CV181" s="1708"/>
      <c r="CW181" s="1708"/>
      <c r="CX181" s="1708"/>
      <c r="CY181" s="1708"/>
      <c r="CZ181" s="1708"/>
      <c r="DA181" s="1708"/>
      <c r="DB181" s="1708"/>
      <c r="DC181" s="1708"/>
      <c r="DD181" s="1708"/>
      <c r="DE181" s="1708"/>
      <c r="DF181" s="1708"/>
      <c r="DG181" s="1708"/>
      <c r="DH181" s="1708"/>
      <c r="DI181" s="1708"/>
      <c r="DJ181" s="1708"/>
      <c r="DK181" s="1708"/>
      <c r="DL181" s="1708"/>
      <c r="DM181" s="1708"/>
      <c r="DN181" s="1708"/>
      <c r="DO181" s="1708"/>
      <c r="DP181" s="1708"/>
      <c r="DQ181" s="1708"/>
      <c r="DR181" s="1708"/>
      <c r="DS181" s="1708"/>
      <c r="DT181" s="1708"/>
      <c r="DU181" s="1708"/>
      <c r="DV181" s="1708"/>
      <c r="DW181" s="1708"/>
      <c r="DX181" s="1708"/>
      <c r="DY181" s="1708"/>
      <c r="DZ181" s="1708"/>
      <c r="EA181" s="1708"/>
      <c r="EB181" s="1708"/>
      <c r="EC181" s="1708"/>
      <c r="ED181" s="1708"/>
      <c r="EE181" s="1708"/>
      <c r="EF181" s="1708"/>
      <c r="EG181" s="1708"/>
      <c r="EH181" s="1708"/>
      <c r="EI181" s="1708"/>
      <c r="EJ181" s="1708"/>
      <c r="EK181" s="1708"/>
      <c r="EL181" s="1708"/>
      <c r="EM181" s="1708"/>
      <c r="EN181" s="1708"/>
      <c r="EO181" s="1708"/>
      <c r="EP181" s="1708"/>
      <c r="EQ181" s="1708"/>
      <c r="ER181" s="1708"/>
      <c r="ES181" s="1708"/>
      <c r="ET181" s="1708"/>
      <c r="EU181" s="1708"/>
      <c r="EV181" s="1708"/>
      <c r="EW181" s="1708"/>
      <c r="EX181" s="1708"/>
      <c r="EY181" s="1708"/>
      <c r="EZ181" s="1708"/>
      <c r="FA181" s="1708"/>
      <c r="FB181" s="1708"/>
      <c r="FC181" s="1708"/>
      <c r="FD181" s="1708"/>
      <c r="FE181" s="1708"/>
      <c r="FF181" s="1708"/>
      <c r="FG181" s="1708"/>
      <c r="FH181" s="1708"/>
      <c r="FI181" s="1708"/>
      <c r="FJ181" s="1708"/>
      <c r="FK181" s="1708"/>
      <c r="FL181" s="1708"/>
      <c r="FM181" s="1708"/>
      <c r="FN181" s="1708"/>
      <c r="FO181" s="1708"/>
      <c r="FP181" s="1708"/>
      <c r="FQ181" s="1708"/>
      <c r="FR181" s="1708"/>
      <c r="FS181" s="1708"/>
      <c r="FT181" s="1708"/>
      <c r="FU181" s="1708"/>
      <c r="FV181" s="1708"/>
      <c r="FW181" s="1708"/>
      <c r="FX181" s="1708"/>
      <c r="FY181" s="1708"/>
      <c r="FZ181" s="1708"/>
      <c r="GA181" s="1708"/>
      <c r="GB181" s="1708"/>
      <c r="GC181" s="1708"/>
      <c r="GD181" s="1708"/>
      <c r="GE181" s="1708"/>
      <c r="GF181" s="1708"/>
      <c r="GG181" s="1708"/>
      <c r="GH181" s="1708"/>
      <c r="GI181" s="1708"/>
      <c r="GJ181" s="1708"/>
      <c r="GK181" s="1708"/>
      <c r="GL181" s="1708"/>
      <c r="GM181" s="1708"/>
      <c r="GN181" s="1708"/>
      <c r="GO181" s="1708"/>
      <c r="GP181" s="1708"/>
      <c r="GQ181" s="1708"/>
      <c r="GR181" s="1708"/>
      <c r="GS181" s="1708"/>
      <c r="GT181" s="1708"/>
      <c r="GU181" s="1708"/>
      <c r="GV181" s="1708"/>
      <c r="GW181" s="1708"/>
      <c r="GX181" s="1708"/>
      <c r="GY181" s="1708"/>
      <c r="GZ181" s="1708"/>
      <c r="HA181" s="1708"/>
      <c r="HB181" s="1708"/>
      <c r="HC181" s="1708"/>
      <c r="HD181" s="1708"/>
      <c r="HE181" s="1708"/>
      <c r="HF181" s="1708"/>
      <c r="HG181" s="1708"/>
      <c r="HH181" s="1708"/>
      <c r="HI181" s="1708"/>
      <c r="HJ181" s="1708"/>
      <c r="HK181" s="1708"/>
      <c r="HL181" s="1708"/>
      <c r="HM181" s="1708"/>
      <c r="HN181" s="1708"/>
      <c r="HO181" s="1708"/>
      <c r="HP181" s="1708"/>
      <c r="HQ181" s="1708"/>
      <c r="HR181" s="1708"/>
      <c r="HS181" s="1708"/>
      <c r="HT181" s="1708"/>
      <c r="HU181" s="1708"/>
      <c r="HV181" s="1708"/>
      <c r="HW181" s="1708"/>
      <c r="HX181" s="1708"/>
      <c r="HY181" s="1708"/>
      <c r="HZ181" s="1708"/>
      <c r="IA181" s="1708"/>
      <c r="IB181" s="1708"/>
      <c r="IC181" s="1708"/>
      <c r="ID181" s="1708"/>
      <c r="IE181" s="1708"/>
      <c r="IF181" s="1708"/>
      <c r="IG181" s="1708"/>
      <c r="IH181" s="1708"/>
      <c r="II181" s="1708"/>
      <c r="IJ181" s="1708"/>
      <c r="IK181" s="1708"/>
      <c r="IL181" s="1708"/>
      <c r="IM181" s="1708"/>
      <c r="IN181" s="1708"/>
      <c r="IO181" s="1708"/>
      <c r="IP181" s="1708"/>
      <c r="IQ181" s="1708"/>
      <c r="IR181" s="1708"/>
      <c r="IS181" s="1708"/>
      <c r="IT181" s="1708"/>
      <c r="IU181" s="1708"/>
      <c r="IV181" s="1708"/>
    </row>
    <row r="182" spans="2:256" s="57" customFormat="1" x14ac:dyDescent="0.25">
      <c r="B182" s="1836"/>
      <c r="G182" s="1849"/>
      <c r="J182" s="1850"/>
      <c r="K182" s="1850"/>
      <c r="S182" s="1708"/>
      <c r="T182" s="1708"/>
      <c r="U182" s="1708"/>
      <c r="V182" s="1708"/>
      <c r="W182" s="1708"/>
      <c r="X182" s="1708"/>
      <c r="Y182" s="1708"/>
      <c r="Z182" s="1708"/>
      <c r="AA182" s="1708"/>
      <c r="AB182" s="1708"/>
      <c r="AC182" s="1708"/>
      <c r="AD182" s="1708"/>
      <c r="AE182" s="1708"/>
      <c r="AF182" s="1708"/>
      <c r="AG182" s="1708"/>
      <c r="AH182" s="1708"/>
      <c r="AI182" s="1708"/>
      <c r="AJ182" s="1708"/>
      <c r="AK182" s="1708"/>
      <c r="AL182" s="1708"/>
      <c r="AM182" s="1708"/>
      <c r="AN182" s="1708"/>
      <c r="AO182" s="1708"/>
      <c r="AP182" s="1708"/>
      <c r="AQ182" s="1708"/>
      <c r="AR182" s="1708"/>
      <c r="AS182" s="1708"/>
      <c r="AT182" s="1708"/>
      <c r="AU182" s="1708"/>
      <c r="AV182" s="1708"/>
      <c r="AW182" s="1708"/>
      <c r="AX182" s="1708"/>
      <c r="AY182" s="1708"/>
      <c r="AZ182" s="1708"/>
      <c r="BA182" s="1708"/>
      <c r="BB182" s="1708"/>
      <c r="BC182" s="1708"/>
      <c r="BD182" s="1708"/>
      <c r="BE182" s="1708"/>
      <c r="BF182" s="1708"/>
      <c r="BG182" s="1708"/>
      <c r="BH182" s="1708"/>
      <c r="BI182" s="1708"/>
      <c r="BJ182" s="1708"/>
      <c r="BK182" s="1708"/>
      <c r="BL182" s="1708"/>
      <c r="BM182" s="1708"/>
      <c r="BN182" s="1708"/>
      <c r="BO182" s="1708"/>
      <c r="BP182" s="1708"/>
      <c r="BQ182" s="1708"/>
      <c r="BR182" s="1708"/>
      <c r="BS182" s="1708"/>
      <c r="BT182" s="1708"/>
      <c r="BU182" s="1708"/>
      <c r="BV182" s="1708"/>
      <c r="BW182" s="1708"/>
      <c r="BX182" s="1708"/>
      <c r="BY182" s="1708"/>
      <c r="BZ182" s="1708"/>
      <c r="CA182" s="1708"/>
      <c r="CB182" s="1708"/>
      <c r="CC182" s="1708"/>
      <c r="CD182" s="1708"/>
      <c r="CE182" s="1708"/>
      <c r="CF182" s="1708"/>
      <c r="CG182" s="1708"/>
      <c r="CH182" s="1708"/>
      <c r="CI182" s="1708"/>
      <c r="CJ182" s="1708"/>
      <c r="CK182" s="1708"/>
      <c r="CL182" s="1708"/>
      <c r="CM182" s="1708"/>
      <c r="CN182" s="1708"/>
      <c r="CO182" s="1708"/>
      <c r="CP182" s="1708"/>
      <c r="CQ182" s="1708"/>
      <c r="CR182" s="1708"/>
      <c r="CS182" s="1708"/>
      <c r="CT182" s="1708"/>
      <c r="CU182" s="1708"/>
      <c r="CV182" s="1708"/>
      <c r="CW182" s="1708"/>
      <c r="CX182" s="1708"/>
      <c r="CY182" s="1708"/>
      <c r="CZ182" s="1708"/>
      <c r="DA182" s="1708"/>
      <c r="DB182" s="1708"/>
      <c r="DC182" s="1708"/>
      <c r="DD182" s="1708"/>
      <c r="DE182" s="1708"/>
      <c r="DF182" s="1708"/>
      <c r="DG182" s="1708"/>
      <c r="DH182" s="1708"/>
      <c r="DI182" s="1708"/>
      <c r="DJ182" s="1708"/>
      <c r="DK182" s="1708"/>
      <c r="DL182" s="1708"/>
      <c r="DM182" s="1708"/>
      <c r="DN182" s="1708"/>
      <c r="DO182" s="1708"/>
      <c r="DP182" s="1708"/>
      <c r="DQ182" s="1708"/>
      <c r="DR182" s="1708"/>
      <c r="DS182" s="1708"/>
      <c r="DT182" s="1708"/>
      <c r="DU182" s="1708"/>
      <c r="DV182" s="1708"/>
      <c r="DW182" s="1708"/>
      <c r="DX182" s="1708"/>
      <c r="DY182" s="1708"/>
      <c r="DZ182" s="1708"/>
      <c r="EA182" s="1708"/>
      <c r="EB182" s="1708"/>
      <c r="EC182" s="1708"/>
      <c r="ED182" s="1708"/>
      <c r="EE182" s="1708"/>
      <c r="EF182" s="1708"/>
      <c r="EG182" s="1708"/>
      <c r="EH182" s="1708"/>
      <c r="EI182" s="1708"/>
      <c r="EJ182" s="1708"/>
      <c r="EK182" s="1708"/>
      <c r="EL182" s="1708"/>
      <c r="EM182" s="1708"/>
      <c r="EN182" s="1708"/>
      <c r="EO182" s="1708"/>
      <c r="EP182" s="1708"/>
      <c r="EQ182" s="1708"/>
      <c r="ER182" s="1708"/>
      <c r="ES182" s="1708"/>
      <c r="ET182" s="1708"/>
      <c r="EU182" s="1708"/>
      <c r="EV182" s="1708"/>
      <c r="EW182" s="1708"/>
      <c r="EX182" s="1708"/>
      <c r="EY182" s="1708"/>
      <c r="EZ182" s="1708"/>
      <c r="FA182" s="1708"/>
      <c r="FB182" s="1708"/>
      <c r="FC182" s="1708"/>
      <c r="FD182" s="1708"/>
      <c r="FE182" s="1708"/>
      <c r="FF182" s="1708"/>
      <c r="FG182" s="1708"/>
      <c r="FH182" s="1708"/>
      <c r="FI182" s="1708"/>
      <c r="FJ182" s="1708"/>
      <c r="FK182" s="1708"/>
      <c r="FL182" s="1708"/>
      <c r="FM182" s="1708"/>
      <c r="FN182" s="1708"/>
      <c r="FO182" s="1708"/>
      <c r="FP182" s="1708"/>
      <c r="FQ182" s="1708"/>
      <c r="FR182" s="1708"/>
      <c r="FS182" s="1708"/>
      <c r="FT182" s="1708"/>
      <c r="FU182" s="1708"/>
      <c r="FV182" s="1708"/>
      <c r="FW182" s="1708"/>
      <c r="FX182" s="1708"/>
      <c r="FY182" s="1708"/>
      <c r="FZ182" s="1708"/>
      <c r="GA182" s="1708"/>
      <c r="GB182" s="1708"/>
      <c r="GC182" s="1708"/>
      <c r="GD182" s="1708"/>
      <c r="GE182" s="1708"/>
      <c r="GF182" s="1708"/>
      <c r="GG182" s="1708"/>
      <c r="GH182" s="1708"/>
      <c r="GI182" s="1708"/>
      <c r="GJ182" s="1708"/>
      <c r="GK182" s="1708"/>
      <c r="GL182" s="1708"/>
      <c r="GM182" s="1708"/>
      <c r="GN182" s="1708"/>
      <c r="GO182" s="1708"/>
      <c r="GP182" s="1708"/>
      <c r="GQ182" s="1708"/>
      <c r="GR182" s="1708"/>
      <c r="GS182" s="1708"/>
      <c r="GT182" s="1708"/>
      <c r="GU182" s="1708"/>
      <c r="GV182" s="1708"/>
      <c r="GW182" s="1708"/>
      <c r="GX182" s="1708"/>
      <c r="GY182" s="1708"/>
      <c r="GZ182" s="1708"/>
      <c r="HA182" s="1708"/>
      <c r="HB182" s="1708"/>
      <c r="HC182" s="1708"/>
      <c r="HD182" s="1708"/>
      <c r="HE182" s="1708"/>
      <c r="HF182" s="1708"/>
      <c r="HG182" s="1708"/>
      <c r="HH182" s="1708"/>
      <c r="HI182" s="1708"/>
      <c r="HJ182" s="1708"/>
      <c r="HK182" s="1708"/>
      <c r="HL182" s="1708"/>
      <c r="HM182" s="1708"/>
      <c r="HN182" s="1708"/>
      <c r="HO182" s="1708"/>
      <c r="HP182" s="1708"/>
      <c r="HQ182" s="1708"/>
      <c r="HR182" s="1708"/>
      <c r="HS182" s="1708"/>
      <c r="HT182" s="1708"/>
      <c r="HU182" s="1708"/>
      <c r="HV182" s="1708"/>
      <c r="HW182" s="1708"/>
      <c r="HX182" s="1708"/>
      <c r="HY182" s="1708"/>
      <c r="HZ182" s="1708"/>
      <c r="IA182" s="1708"/>
      <c r="IB182" s="1708"/>
      <c r="IC182" s="1708"/>
      <c r="ID182" s="1708"/>
      <c r="IE182" s="1708"/>
      <c r="IF182" s="1708"/>
      <c r="IG182" s="1708"/>
      <c r="IH182" s="1708"/>
      <c r="II182" s="1708"/>
      <c r="IJ182" s="1708"/>
      <c r="IK182" s="1708"/>
      <c r="IL182" s="1708"/>
      <c r="IM182" s="1708"/>
      <c r="IN182" s="1708"/>
      <c r="IO182" s="1708"/>
      <c r="IP182" s="1708"/>
      <c r="IQ182" s="1708"/>
      <c r="IR182" s="1708"/>
      <c r="IS182" s="1708"/>
      <c r="IT182" s="1708"/>
      <c r="IU182" s="1708"/>
      <c r="IV182" s="1708"/>
    </row>
    <row r="183" spans="2:256" s="57" customFormat="1" x14ac:dyDescent="0.25">
      <c r="B183" s="1836"/>
      <c r="G183" s="1849"/>
      <c r="J183" s="1850"/>
      <c r="K183" s="1850"/>
      <c r="S183" s="1708"/>
      <c r="T183" s="1708"/>
      <c r="U183" s="1708"/>
      <c r="V183" s="1708"/>
      <c r="W183" s="1708"/>
      <c r="X183" s="1708"/>
      <c r="Y183" s="1708"/>
      <c r="Z183" s="1708"/>
      <c r="AA183" s="1708"/>
      <c r="AB183" s="1708"/>
      <c r="AC183" s="1708"/>
      <c r="AD183" s="1708"/>
      <c r="AE183" s="1708"/>
      <c r="AF183" s="1708"/>
      <c r="AG183" s="1708"/>
      <c r="AH183" s="1708"/>
      <c r="AI183" s="1708"/>
      <c r="AJ183" s="1708"/>
      <c r="AK183" s="1708"/>
      <c r="AL183" s="1708"/>
      <c r="AM183" s="1708"/>
      <c r="AN183" s="1708"/>
      <c r="AO183" s="1708"/>
      <c r="AP183" s="1708"/>
      <c r="AQ183" s="1708"/>
      <c r="AR183" s="1708"/>
      <c r="AS183" s="1708"/>
      <c r="AT183" s="1708"/>
      <c r="AU183" s="1708"/>
      <c r="AV183" s="1708"/>
      <c r="AW183" s="1708"/>
      <c r="AX183" s="1708"/>
      <c r="AY183" s="1708"/>
      <c r="AZ183" s="1708"/>
      <c r="BA183" s="1708"/>
      <c r="BB183" s="1708"/>
      <c r="BC183" s="1708"/>
      <c r="BD183" s="1708"/>
      <c r="BE183" s="1708"/>
      <c r="BF183" s="1708"/>
      <c r="BG183" s="1708"/>
      <c r="BH183" s="1708"/>
      <c r="BI183" s="1708"/>
      <c r="BJ183" s="1708"/>
      <c r="BK183" s="1708"/>
      <c r="BL183" s="1708"/>
      <c r="BM183" s="1708"/>
      <c r="BN183" s="1708"/>
      <c r="BO183" s="1708"/>
      <c r="BP183" s="1708"/>
      <c r="BQ183" s="1708"/>
      <c r="BR183" s="1708"/>
      <c r="BS183" s="1708"/>
      <c r="BT183" s="1708"/>
      <c r="BU183" s="1708"/>
      <c r="BV183" s="1708"/>
      <c r="BW183" s="1708"/>
      <c r="BX183" s="1708"/>
      <c r="BY183" s="1708"/>
      <c r="BZ183" s="1708"/>
      <c r="CA183" s="1708"/>
      <c r="CB183" s="1708"/>
      <c r="CC183" s="1708"/>
      <c r="CD183" s="1708"/>
      <c r="CE183" s="1708"/>
      <c r="CF183" s="1708"/>
      <c r="CG183" s="1708"/>
      <c r="CH183" s="1708"/>
      <c r="CI183" s="1708"/>
      <c r="CJ183" s="1708"/>
      <c r="CK183" s="1708"/>
      <c r="CL183" s="1708"/>
      <c r="CM183" s="1708"/>
      <c r="CN183" s="1708"/>
      <c r="CO183" s="1708"/>
      <c r="CP183" s="1708"/>
      <c r="CQ183" s="1708"/>
      <c r="CR183" s="1708"/>
      <c r="CS183" s="1708"/>
      <c r="CT183" s="1708"/>
      <c r="CU183" s="1708"/>
      <c r="CV183" s="1708"/>
      <c r="CW183" s="1708"/>
      <c r="CX183" s="1708"/>
      <c r="CY183" s="1708"/>
      <c r="CZ183" s="1708"/>
      <c r="DA183" s="1708"/>
      <c r="DB183" s="1708"/>
      <c r="DC183" s="1708"/>
      <c r="DD183" s="1708"/>
      <c r="DE183" s="1708"/>
      <c r="DF183" s="1708"/>
      <c r="DG183" s="1708"/>
      <c r="DH183" s="1708"/>
      <c r="DI183" s="1708"/>
      <c r="DJ183" s="1708"/>
      <c r="DK183" s="1708"/>
      <c r="DL183" s="1708"/>
      <c r="DM183" s="1708"/>
      <c r="DN183" s="1708"/>
      <c r="DO183" s="1708"/>
      <c r="DP183" s="1708"/>
      <c r="DQ183" s="1708"/>
      <c r="DR183" s="1708"/>
      <c r="DS183" s="1708"/>
      <c r="DT183" s="1708"/>
      <c r="DU183" s="1708"/>
      <c r="DV183" s="1708"/>
      <c r="DW183" s="1708"/>
      <c r="DX183" s="1708"/>
      <c r="DY183" s="1708"/>
      <c r="DZ183" s="1708"/>
      <c r="EA183" s="1708"/>
      <c r="EB183" s="1708"/>
      <c r="EC183" s="1708"/>
      <c r="ED183" s="1708"/>
      <c r="EE183" s="1708"/>
      <c r="EF183" s="1708"/>
      <c r="EG183" s="1708"/>
      <c r="EH183" s="1708"/>
      <c r="EI183" s="1708"/>
      <c r="EJ183" s="1708"/>
      <c r="EK183" s="1708"/>
      <c r="EL183" s="1708"/>
      <c r="EM183" s="1708"/>
      <c r="EN183" s="1708"/>
      <c r="EO183" s="1708"/>
      <c r="EP183" s="1708"/>
      <c r="EQ183" s="1708"/>
      <c r="ER183" s="1708"/>
      <c r="ES183" s="1708"/>
      <c r="ET183" s="1708"/>
      <c r="EU183" s="1708"/>
      <c r="EV183" s="1708"/>
      <c r="EW183" s="1708"/>
      <c r="EX183" s="1708"/>
      <c r="EY183" s="1708"/>
      <c r="EZ183" s="1708"/>
      <c r="FA183" s="1708"/>
      <c r="FB183" s="1708"/>
      <c r="FC183" s="1708"/>
      <c r="FD183" s="1708"/>
      <c r="FE183" s="1708"/>
      <c r="FF183" s="1708"/>
      <c r="FG183" s="1708"/>
      <c r="FH183" s="1708"/>
      <c r="FI183" s="1708"/>
      <c r="FJ183" s="1708"/>
      <c r="FK183" s="1708"/>
      <c r="FL183" s="1708"/>
      <c r="FM183" s="1708"/>
      <c r="FN183" s="1708"/>
      <c r="FO183" s="1708"/>
      <c r="FP183" s="1708"/>
      <c r="FQ183" s="1708"/>
      <c r="FR183" s="1708"/>
      <c r="FS183" s="1708"/>
      <c r="FT183" s="1708"/>
      <c r="FU183" s="1708"/>
      <c r="FV183" s="1708"/>
      <c r="FW183" s="1708"/>
      <c r="FX183" s="1708"/>
      <c r="FY183" s="1708"/>
      <c r="FZ183" s="1708"/>
      <c r="GA183" s="1708"/>
      <c r="GB183" s="1708"/>
      <c r="GC183" s="1708"/>
      <c r="GD183" s="1708"/>
      <c r="GE183" s="1708"/>
      <c r="GF183" s="1708"/>
      <c r="GG183" s="1708"/>
      <c r="GH183" s="1708"/>
      <c r="GI183" s="1708"/>
      <c r="GJ183" s="1708"/>
      <c r="GK183" s="1708"/>
      <c r="GL183" s="1708"/>
      <c r="GM183" s="1708"/>
      <c r="GN183" s="1708"/>
      <c r="GO183" s="1708"/>
      <c r="GP183" s="1708"/>
      <c r="GQ183" s="1708"/>
      <c r="GR183" s="1708"/>
      <c r="GS183" s="1708"/>
      <c r="GT183" s="1708"/>
      <c r="GU183" s="1708"/>
      <c r="GV183" s="1708"/>
      <c r="GW183" s="1708"/>
      <c r="GX183" s="1708"/>
      <c r="GY183" s="1708"/>
      <c r="GZ183" s="1708"/>
      <c r="HA183" s="1708"/>
      <c r="HB183" s="1708"/>
      <c r="HC183" s="1708"/>
      <c r="HD183" s="1708"/>
      <c r="HE183" s="1708"/>
      <c r="HF183" s="1708"/>
      <c r="HG183" s="1708"/>
      <c r="HH183" s="1708"/>
      <c r="HI183" s="1708"/>
      <c r="HJ183" s="1708"/>
      <c r="HK183" s="1708"/>
      <c r="HL183" s="1708"/>
      <c r="HM183" s="1708"/>
      <c r="HN183" s="1708"/>
      <c r="HO183" s="1708"/>
      <c r="HP183" s="1708"/>
      <c r="HQ183" s="1708"/>
      <c r="HR183" s="1708"/>
      <c r="HS183" s="1708"/>
      <c r="HT183" s="1708"/>
      <c r="HU183" s="1708"/>
      <c r="HV183" s="1708"/>
      <c r="HW183" s="1708"/>
      <c r="HX183" s="1708"/>
      <c r="HY183" s="1708"/>
      <c r="HZ183" s="1708"/>
      <c r="IA183" s="1708"/>
      <c r="IB183" s="1708"/>
      <c r="IC183" s="1708"/>
      <c r="ID183" s="1708"/>
      <c r="IE183" s="1708"/>
      <c r="IF183" s="1708"/>
      <c r="IG183" s="1708"/>
      <c r="IH183" s="1708"/>
      <c r="II183" s="1708"/>
      <c r="IJ183" s="1708"/>
      <c r="IK183" s="1708"/>
      <c r="IL183" s="1708"/>
      <c r="IM183" s="1708"/>
      <c r="IN183" s="1708"/>
      <c r="IO183" s="1708"/>
      <c r="IP183" s="1708"/>
      <c r="IQ183" s="1708"/>
      <c r="IR183" s="1708"/>
      <c r="IS183" s="1708"/>
      <c r="IT183" s="1708"/>
      <c r="IU183" s="1708"/>
      <c r="IV183" s="1708"/>
    </row>
    <row r="184" spans="2:256" s="57" customFormat="1" x14ac:dyDescent="0.25">
      <c r="B184" s="1836"/>
      <c r="G184" s="1849"/>
      <c r="J184" s="1850"/>
      <c r="K184" s="1850"/>
      <c r="S184" s="1708"/>
      <c r="T184" s="1708"/>
      <c r="U184" s="1708"/>
      <c r="V184" s="1708"/>
      <c r="W184" s="1708"/>
      <c r="X184" s="1708"/>
      <c r="Y184" s="1708"/>
      <c r="Z184" s="1708"/>
      <c r="AA184" s="1708"/>
      <c r="AB184" s="1708"/>
      <c r="AC184" s="1708"/>
      <c r="AD184" s="1708"/>
      <c r="AE184" s="1708"/>
      <c r="AF184" s="1708"/>
      <c r="AG184" s="1708"/>
      <c r="AH184" s="1708"/>
      <c r="AI184" s="1708"/>
      <c r="AJ184" s="1708"/>
      <c r="AK184" s="1708"/>
      <c r="AL184" s="1708"/>
      <c r="AM184" s="1708"/>
      <c r="AN184" s="1708"/>
      <c r="AO184" s="1708"/>
      <c r="AP184" s="1708"/>
      <c r="AQ184" s="1708"/>
      <c r="AR184" s="1708"/>
      <c r="AS184" s="1708"/>
      <c r="AT184" s="1708"/>
      <c r="AU184" s="1708"/>
      <c r="AV184" s="1708"/>
      <c r="AW184" s="1708"/>
      <c r="AX184" s="1708"/>
      <c r="AY184" s="1708"/>
      <c r="AZ184" s="1708"/>
      <c r="BA184" s="1708"/>
      <c r="BB184" s="1708"/>
      <c r="BC184" s="1708"/>
      <c r="BD184" s="1708"/>
      <c r="BE184" s="1708"/>
      <c r="BF184" s="1708"/>
      <c r="BG184" s="1708"/>
      <c r="BH184" s="1708"/>
      <c r="BI184" s="1708"/>
      <c r="BJ184" s="1708"/>
      <c r="BK184" s="1708"/>
      <c r="BL184" s="1708"/>
      <c r="BM184" s="1708"/>
      <c r="BN184" s="1708"/>
      <c r="BO184" s="1708"/>
      <c r="BP184" s="1708"/>
      <c r="BQ184" s="1708"/>
      <c r="BR184" s="1708"/>
      <c r="BS184" s="1708"/>
      <c r="BT184" s="1708"/>
      <c r="BU184" s="1708"/>
      <c r="BV184" s="1708"/>
      <c r="BW184" s="1708"/>
      <c r="BX184" s="1708"/>
      <c r="BY184" s="1708"/>
      <c r="BZ184" s="1708"/>
      <c r="CA184" s="1708"/>
      <c r="CB184" s="1708"/>
      <c r="CC184" s="1708"/>
      <c r="CD184" s="1708"/>
      <c r="CE184" s="1708"/>
      <c r="CF184" s="1708"/>
      <c r="CG184" s="1708"/>
      <c r="CH184" s="1708"/>
      <c r="CI184" s="1708"/>
      <c r="CJ184" s="1708"/>
      <c r="CK184" s="1708"/>
      <c r="CL184" s="1708"/>
      <c r="CM184" s="1708"/>
      <c r="CN184" s="1708"/>
      <c r="CO184" s="1708"/>
      <c r="CP184" s="1708"/>
      <c r="CQ184" s="1708"/>
      <c r="CR184" s="1708"/>
      <c r="CS184" s="1708"/>
      <c r="CT184" s="1708"/>
      <c r="CU184" s="1708"/>
      <c r="CV184" s="1708"/>
      <c r="CW184" s="1708"/>
      <c r="CX184" s="1708"/>
      <c r="CY184" s="1708"/>
      <c r="CZ184" s="1708"/>
      <c r="DA184" s="1708"/>
      <c r="DB184" s="1708"/>
      <c r="DC184" s="1708"/>
      <c r="DD184" s="1708"/>
      <c r="DE184" s="1708"/>
      <c r="DF184" s="1708"/>
      <c r="DG184" s="1708"/>
      <c r="DH184" s="1708"/>
      <c r="DI184" s="1708"/>
      <c r="DJ184" s="1708"/>
      <c r="DK184" s="1708"/>
      <c r="DL184" s="1708"/>
      <c r="DM184" s="1708"/>
      <c r="DN184" s="1708"/>
      <c r="DO184" s="1708"/>
      <c r="DP184" s="1708"/>
      <c r="DQ184" s="1708"/>
      <c r="DR184" s="1708"/>
      <c r="DS184" s="1708"/>
      <c r="DT184" s="1708"/>
      <c r="DU184" s="1708"/>
      <c r="DV184" s="1708"/>
      <c r="DW184" s="1708"/>
      <c r="DX184" s="1708"/>
      <c r="DY184" s="1708"/>
      <c r="DZ184" s="1708"/>
      <c r="EA184" s="1708"/>
      <c r="EB184" s="1708"/>
      <c r="EC184" s="1708"/>
      <c r="ED184" s="1708"/>
      <c r="EE184" s="1708"/>
      <c r="EF184" s="1708"/>
      <c r="EG184" s="1708"/>
      <c r="EH184" s="1708"/>
      <c r="EI184" s="1708"/>
      <c r="EJ184" s="1708"/>
      <c r="EK184" s="1708"/>
      <c r="EL184" s="1708"/>
      <c r="EM184" s="1708"/>
      <c r="EN184" s="1708"/>
      <c r="EO184" s="1708"/>
      <c r="EP184" s="1708"/>
      <c r="EQ184" s="1708"/>
      <c r="ER184" s="1708"/>
      <c r="ES184" s="1708"/>
      <c r="ET184" s="1708"/>
      <c r="EU184" s="1708"/>
      <c r="EV184" s="1708"/>
      <c r="EW184" s="1708"/>
      <c r="EX184" s="1708"/>
      <c r="EY184" s="1708"/>
      <c r="EZ184" s="1708"/>
      <c r="FA184" s="1708"/>
      <c r="FB184" s="1708"/>
      <c r="FC184" s="1708"/>
      <c r="FD184" s="1708"/>
      <c r="FE184" s="1708"/>
      <c r="FF184" s="1708"/>
      <c r="FG184" s="1708"/>
      <c r="FH184" s="1708"/>
      <c r="FI184" s="1708"/>
      <c r="FJ184" s="1708"/>
      <c r="FK184" s="1708"/>
      <c r="FL184" s="1708"/>
      <c r="FM184" s="1708"/>
      <c r="FN184" s="1708"/>
      <c r="FO184" s="1708"/>
      <c r="FP184" s="1708"/>
      <c r="FQ184" s="1708"/>
      <c r="FR184" s="1708"/>
      <c r="FS184" s="1708"/>
      <c r="FT184" s="1708"/>
      <c r="FU184" s="1708"/>
      <c r="FV184" s="1708"/>
      <c r="FW184" s="1708"/>
      <c r="FX184" s="1708"/>
      <c r="FY184" s="1708"/>
      <c r="FZ184" s="1708"/>
      <c r="GA184" s="1708"/>
      <c r="GB184" s="1708"/>
      <c r="GC184" s="1708"/>
      <c r="GD184" s="1708"/>
      <c r="GE184" s="1708"/>
      <c r="GF184" s="1708"/>
      <c r="GG184" s="1708"/>
      <c r="GH184" s="1708"/>
      <c r="GI184" s="1708"/>
      <c r="GJ184" s="1708"/>
      <c r="GK184" s="1708"/>
      <c r="GL184" s="1708"/>
      <c r="GM184" s="1708"/>
      <c r="GN184" s="1708"/>
      <c r="GO184" s="1708"/>
      <c r="GP184" s="1708"/>
      <c r="GQ184" s="1708"/>
      <c r="GR184" s="1708"/>
      <c r="GS184" s="1708"/>
      <c r="GT184" s="1708"/>
      <c r="GU184" s="1708"/>
      <c r="GV184" s="1708"/>
      <c r="GW184" s="1708"/>
      <c r="GX184" s="1708"/>
      <c r="GY184" s="1708"/>
      <c r="GZ184" s="1708"/>
      <c r="HA184" s="1708"/>
      <c r="HB184" s="1708"/>
      <c r="HC184" s="1708"/>
      <c r="HD184" s="1708"/>
      <c r="HE184" s="1708"/>
      <c r="HF184" s="1708"/>
      <c r="HG184" s="1708"/>
      <c r="HH184" s="1708"/>
      <c r="HI184" s="1708"/>
      <c r="HJ184" s="1708"/>
      <c r="HK184" s="1708"/>
      <c r="HL184" s="1708"/>
      <c r="HM184" s="1708"/>
      <c r="HN184" s="1708"/>
      <c r="HO184" s="1708"/>
      <c r="HP184" s="1708"/>
      <c r="HQ184" s="1708"/>
      <c r="HR184" s="1708"/>
      <c r="HS184" s="1708"/>
      <c r="HT184" s="1708"/>
      <c r="HU184" s="1708"/>
      <c r="HV184" s="1708"/>
      <c r="HW184" s="1708"/>
      <c r="HX184" s="1708"/>
      <c r="HY184" s="1708"/>
      <c r="HZ184" s="1708"/>
      <c r="IA184" s="1708"/>
      <c r="IB184" s="1708"/>
      <c r="IC184" s="1708"/>
      <c r="ID184" s="1708"/>
      <c r="IE184" s="1708"/>
      <c r="IF184" s="1708"/>
      <c r="IG184" s="1708"/>
      <c r="IH184" s="1708"/>
      <c r="II184" s="1708"/>
      <c r="IJ184" s="1708"/>
      <c r="IK184" s="1708"/>
      <c r="IL184" s="1708"/>
      <c r="IM184" s="1708"/>
      <c r="IN184" s="1708"/>
      <c r="IO184" s="1708"/>
      <c r="IP184" s="1708"/>
      <c r="IQ184" s="1708"/>
      <c r="IR184" s="1708"/>
      <c r="IS184" s="1708"/>
      <c r="IT184" s="1708"/>
      <c r="IU184" s="1708"/>
      <c r="IV184" s="1708"/>
    </row>
    <row r="185" spans="2:256" s="57" customFormat="1" x14ac:dyDescent="0.25">
      <c r="B185" s="1836"/>
      <c r="G185" s="1849"/>
      <c r="J185" s="1850"/>
      <c r="K185" s="1850"/>
      <c r="S185" s="1708"/>
      <c r="T185" s="1708"/>
      <c r="U185" s="1708"/>
      <c r="V185" s="1708"/>
      <c r="W185" s="1708"/>
      <c r="X185" s="1708"/>
      <c r="Y185" s="1708"/>
      <c r="Z185" s="1708"/>
      <c r="AA185" s="1708"/>
      <c r="AB185" s="1708"/>
      <c r="AC185" s="1708"/>
      <c r="AD185" s="1708"/>
      <c r="AE185" s="1708"/>
      <c r="AF185" s="1708"/>
      <c r="AG185" s="1708"/>
      <c r="AH185" s="1708"/>
      <c r="AI185" s="1708"/>
      <c r="AJ185" s="1708"/>
      <c r="AK185" s="1708"/>
      <c r="AL185" s="1708"/>
      <c r="AM185" s="1708"/>
      <c r="AN185" s="1708"/>
      <c r="AO185" s="1708"/>
      <c r="AP185" s="1708"/>
      <c r="AQ185" s="1708"/>
      <c r="AR185" s="1708"/>
      <c r="AS185" s="1708"/>
      <c r="AT185" s="1708"/>
      <c r="AU185" s="1708"/>
      <c r="AV185" s="1708"/>
      <c r="AW185" s="1708"/>
      <c r="AX185" s="1708"/>
      <c r="AY185" s="1708"/>
      <c r="AZ185" s="1708"/>
      <c r="BA185" s="1708"/>
      <c r="BB185" s="1708"/>
      <c r="BC185" s="1708"/>
      <c r="BD185" s="1708"/>
      <c r="BE185" s="1708"/>
      <c r="BF185" s="1708"/>
      <c r="BG185" s="1708"/>
      <c r="BH185" s="1708"/>
      <c r="BI185" s="1708"/>
      <c r="BJ185" s="1708"/>
      <c r="BK185" s="1708"/>
      <c r="BL185" s="1708"/>
      <c r="BM185" s="1708"/>
      <c r="BN185" s="1708"/>
      <c r="BO185" s="1708"/>
      <c r="BP185" s="1708"/>
      <c r="BQ185" s="1708"/>
      <c r="BR185" s="1708"/>
      <c r="BS185" s="1708"/>
      <c r="BT185" s="1708"/>
      <c r="BU185" s="1708"/>
      <c r="BV185" s="1708"/>
      <c r="BW185" s="1708"/>
      <c r="BX185" s="1708"/>
      <c r="BY185" s="1708"/>
      <c r="BZ185" s="1708"/>
      <c r="CA185" s="1708"/>
      <c r="CB185" s="1708"/>
      <c r="CC185" s="1708"/>
      <c r="CD185" s="1708"/>
      <c r="CE185" s="1708"/>
      <c r="CF185" s="1708"/>
      <c r="CG185" s="1708"/>
      <c r="CH185" s="1708"/>
      <c r="CI185" s="1708"/>
      <c r="CJ185" s="1708"/>
      <c r="CK185" s="1708"/>
      <c r="CL185" s="1708"/>
      <c r="CM185" s="1708"/>
      <c r="CN185" s="1708"/>
      <c r="CO185" s="1708"/>
      <c r="CP185" s="1708"/>
      <c r="CQ185" s="1708"/>
      <c r="CR185" s="1708"/>
      <c r="CS185" s="1708"/>
      <c r="CT185" s="1708"/>
      <c r="CU185" s="1708"/>
      <c r="CV185" s="1708"/>
      <c r="CW185" s="1708"/>
      <c r="CX185" s="1708"/>
      <c r="CY185" s="1708"/>
      <c r="CZ185" s="1708"/>
      <c r="DA185" s="1708"/>
      <c r="DB185" s="1708"/>
      <c r="DC185" s="1708"/>
      <c r="DD185" s="1708"/>
      <c r="DE185" s="1708"/>
      <c r="DF185" s="1708"/>
      <c r="DG185" s="1708"/>
      <c r="DH185" s="1708"/>
      <c r="DI185" s="1708"/>
      <c r="DJ185" s="1708"/>
      <c r="DK185" s="1708"/>
      <c r="DL185" s="1708"/>
      <c r="DM185" s="1708"/>
      <c r="DN185" s="1708"/>
      <c r="DO185" s="1708"/>
      <c r="DP185" s="1708"/>
      <c r="DQ185" s="1708"/>
      <c r="DR185" s="1708"/>
      <c r="DS185" s="1708"/>
      <c r="DT185" s="1708"/>
      <c r="DU185" s="1708"/>
      <c r="DV185" s="1708"/>
      <c r="DW185" s="1708"/>
      <c r="DX185" s="1708"/>
      <c r="DY185" s="1708"/>
      <c r="DZ185" s="1708"/>
      <c r="EA185" s="1708"/>
      <c r="EB185" s="1708"/>
      <c r="EC185" s="1708"/>
      <c r="ED185" s="1708"/>
      <c r="EE185" s="1708"/>
      <c r="EF185" s="1708"/>
      <c r="EG185" s="1708"/>
      <c r="EH185" s="1708"/>
      <c r="EI185" s="1708"/>
      <c r="EJ185" s="1708"/>
      <c r="EK185" s="1708"/>
      <c r="EL185" s="1708"/>
      <c r="EM185" s="1708"/>
      <c r="EN185" s="1708"/>
      <c r="EO185" s="1708"/>
      <c r="EP185" s="1708"/>
      <c r="EQ185" s="1708"/>
      <c r="ER185" s="1708"/>
      <c r="ES185" s="1708"/>
      <c r="ET185" s="1708"/>
      <c r="EU185" s="1708"/>
      <c r="EV185" s="1708"/>
      <c r="EW185" s="1708"/>
      <c r="EX185" s="1708"/>
      <c r="EY185" s="1708"/>
      <c r="EZ185" s="1708"/>
      <c r="FA185" s="1708"/>
      <c r="FB185" s="1708"/>
      <c r="FC185" s="1708"/>
      <c r="FD185" s="1708"/>
      <c r="FE185" s="1708"/>
      <c r="FF185" s="1708"/>
      <c r="FG185" s="1708"/>
      <c r="FH185" s="1708"/>
      <c r="FI185" s="1708"/>
      <c r="FJ185" s="1708"/>
      <c r="FK185" s="1708"/>
      <c r="FL185" s="1708"/>
      <c r="FM185" s="1708"/>
      <c r="FN185" s="1708"/>
      <c r="FO185" s="1708"/>
      <c r="FP185" s="1708"/>
      <c r="FQ185" s="1708"/>
      <c r="FR185" s="1708"/>
      <c r="FS185" s="1708"/>
      <c r="FT185" s="1708"/>
      <c r="FU185" s="1708"/>
      <c r="FV185" s="1708"/>
      <c r="FW185" s="1708"/>
      <c r="FX185" s="1708"/>
      <c r="FY185" s="1708"/>
      <c r="FZ185" s="1708"/>
      <c r="GA185" s="1708"/>
      <c r="GB185" s="1708"/>
      <c r="GC185" s="1708"/>
      <c r="GD185" s="1708"/>
      <c r="GE185" s="1708"/>
      <c r="GF185" s="1708"/>
      <c r="GG185" s="1708"/>
      <c r="GH185" s="1708"/>
      <c r="GI185" s="1708"/>
      <c r="GJ185" s="1708"/>
      <c r="GK185" s="1708"/>
      <c r="GL185" s="1708"/>
      <c r="GM185" s="1708"/>
      <c r="GN185" s="1708"/>
      <c r="GO185" s="1708"/>
      <c r="GP185" s="1708"/>
      <c r="GQ185" s="1708"/>
      <c r="GR185" s="1708"/>
      <c r="GS185" s="1708"/>
      <c r="GT185" s="1708"/>
      <c r="GU185" s="1708"/>
      <c r="GV185" s="1708"/>
      <c r="GW185" s="1708"/>
      <c r="GX185" s="1708"/>
      <c r="GY185" s="1708"/>
      <c r="GZ185" s="1708"/>
      <c r="HA185" s="1708"/>
      <c r="HB185" s="1708"/>
      <c r="HC185" s="1708"/>
      <c r="HD185" s="1708"/>
      <c r="HE185" s="1708"/>
      <c r="HF185" s="1708"/>
      <c r="HG185" s="1708"/>
      <c r="HH185" s="1708"/>
      <c r="HI185" s="1708"/>
      <c r="HJ185" s="1708"/>
      <c r="HK185" s="1708"/>
      <c r="HL185" s="1708"/>
      <c r="HM185" s="1708"/>
      <c r="HN185" s="1708"/>
      <c r="HO185" s="1708"/>
      <c r="HP185" s="1708"/>
      <c r="HQ185" s="1708"/>
      <c r="HR185" s="1708"/>
      <c r="HS185" s="1708"/>
      <c r="HT185" s="1708"/>
      <c r="HU185" s="1708"/>
      <c r="HV185" s="1708"/>
      <c r="HW185" s="1708"/>
      <c r="HX185" s="1708"/>
      <c r="HY185" s="1708"/>
      <c r="HZ185" s="1708"/>
      <c r="IA185" s="1708"/>
      <c r="IB185" s="1708"/>
      <c r="IC185" s="1708"/>
      <c r="ID185" s="1708"/>
      <c r="IE185" s="1708"/>
      <c r="IF185" s="1708"/>
      <c r="IG185" s="1708"/>
      <c r="IH185" s="1708"/>
      <c r="II185" s="1708"/>
      <c r="IJ185" s="1708"/>
      <c r="IK185" s="1708"/>
      <c r="IL185" s="1708"/>
      <c r="IM185" s="1708"/>
      <c r="IN185" s="1708"/>
      <c r="IO185" s="1708"/>
      <c r="IP185" s="1708"/>
      <c r="IQ185" s="1708"/>
      <c r="IR185" s="1708"/>
      <c r="IS185" s="1708"/>
      <c r="IT185" s="1708"/>
      <c r="IU185" s="1708"/>
      <c r="IV185" s="1708"/>
    </row>
    <row r="186" spans="2:256" s="57" customFormat="1" x14ac:dyDescent="0.25">
      <c r="B186" s="1836"/>
      <c r="G186" s="1849"/>
      <c r="J186" s="1850"/>
      <c r="K186" s="1850"/>
      <c r="S186" s="1708"/>
      <c r="T186" s="1708"/>
      <c r="U186" s="1708"/>
      <c r="V186" s="1708"/>
      <c r="W186" s="1708"/>
      <c r="X186" s="1708"/>
      <c r="Y186" s="1708"/>
      <c r="Z186" s="1708"/>
      <c r="AA186" s="1708"/>
      <c r="AB186" s="1708"/>
      <c r="AC186" s="1708"/>
      <c r="AD186" s="1708"/>
      <c r="AE186" s="1708"/>
      <c r="AF186" s="1708"/>
      <c r="AG186" s="1708"/>
      <c r="AH186" s="1708"/>
      <c r="AI186" s="1708"/>
      <c r="AJ186" s="1708"/>
      <c r="AK186" s="1708"/>
      <c r="AL186" s="1708"/>
      <c r="AM186" s="1708"/>
      <c r="AN186" s="1708"/>
      <c r="AO186" s="1708"/>
      <c r="AP186" s="1708"/>
      <c r="AQ186" s="1708"/>
      <c r="AR186" s="1708"/>
      <c r="AS186" s="1708"/>
      <c r="AT186" s="1708"/>
      <c r="AU186" s="1708"/>
      <c r="AV186" s="1708"/>
      <c r="AW186" s="1708"/>
      <c r="AX186" s="1708"/>
      <c r="AY186" s="1708"/>
      <c r="AZ186" s="1708"/>
      <c r="BA186" s="1708"/>
      <c r="BB186" s="1708"/>
      <c r="BC186" s="1708"/>
      <c r="BD186" s="1708"/>
      <c r="BE186" s="1708"/>
      <c r="BF186" s="1708"/>
      <c r="BG186" s="1708"/>
      <c r="BH186" s="1708"/>
      <c r="BI186" s="1708"/>
      <c r="BJ186" s="1708"/>
      <c r="BK186" s="1708"/>
      <c r="BL186" s="1708"/>
      <c r="BM186" s="1708"/>
      <c r="BN186" s="1708"/>
      <c r="BO186" s="1708"/>
      <c r="BP186" s="1708"/>
      <c r="BQ186" s="1708"/>
      <c r="BR186" s="1708"/>
      <c r="BS186" s="1708"/>
      <c r="BT186" s="1708"/>
      <c r="BU186" s="1708"/>
      <c r="BV186" s="1708"/>
      <c r="BW186" s="1708"/>
      <c r="BX186" s="1708"/>
      <c r="BY186" s="1708"/>
      <c r="BZ186" s="1708"/>
      <c r="CA186" s="1708"/>
      <c r="CB186" s="1708"/>
      <c r="CC186" s="1708"/>
      <c r="CD186" s="1708"/>
      <c r="CE186" s="1708"/>
      <c r="CF186" s="1708"/>
      <c r="CG186" s="1708"/>
      <c r="CH186" s="1708"/>
      <c r="CI186" s="1708"/>
      <c r="CJ186" s="1708"/>
      <c r="CK186" s="1708"/>
      <c r="CL186" s="1708"/>
      <c r="CM186" s="1708"/>
      <c r="CN186" s="1708"/>
      <c r="CO186" s="1708"/>
      <c r="CP186" s="1708"/>
      <c r="CQ186" s="1708"/>
      <c r="CR186" s="1708"/>
      <c r="CS186" s="1708"/>
      <c r="CT186" s="1708"/>
      <c r="CU186" s="1708"/>
      <c r="CV186" s="1708"/>
      <c r="CW186" s="1708"/>
      <c r="CX186" s="1708"/>
      <c r="CY186" s="1708"/>
      <c r="CZ186" s="1708"/>
      <c r="DA186" s="1708"/>
      <c r="DB186" s="1708"/>
      <c r="DC186" s="1708"/>
      <c r="DD186" s="1708"/>
      <c r="DE186" s="1708"/>
      <c r="DF186" s="1708"/>
      <c r="DG186" s="1708"/>
      <c r="DH186" s="1708"/>
      <c r="DI186" s="1708"/>
      <c r="DJ186" s="1708"/>
      <c r="DK186" s="1708"/>
      <c r="DL186" s="1708"/>
      <c r="DM186" s="1708"/>
      <c r="DN186" s="1708"/>
      <c r="DO186" s="1708"/>
      <c r="DP186" s="1708"/>
      <c r="DQ186" s="1708"/>
      <c r="DR186" s="1708"/>
      <c r="DS186" s="1708"/>
      <c r="DT186" s="1708"/>
      <c r="DU186" s="1708"/>
      <c r="DV186" s="1708"/>
      <c r="DW186" s="1708"/>
      <c r="DX186" s="1708"/>
      <c r="DY186" s="1708"/>
      <c r="DZ186" s="1708"/>
      <c r="EA186" s="1708"/>
      <c r="EB186" s="1708"/>
      <c r="EC186" s="1708"/>
      <c r="ED186" s="1708"/>
      <c r="EE186" s="1708"/>
      <c r="EF186" s="1708"/>
      <c r="EG186" s="1708"/>
      <c r="EH186" s="1708"/>
      <c r="EI186" s="1708"/>
      <c r="EJ186" s="1708"/>
      <c r="EK186" s="1708"/>
      <c r="EL186" s="1708"/>
      <c r="EM186" s="1708"/>
      <c r="EN186" s="1708"/>
      <c r="EO186" s="1708"/>
      <c r="EP186" s="1708"/>
      <c r="EQ186" s="1708"/>
      <c r="ER186" s="1708"/>
      <c r="ES186" s="1708"/>
      <c r="ET186" s="1708"/>
      <c r="EU186" s="1708"/>
      <c r="EV186" s="1708"/>
      <c r="EW186" s="1708"/>
      <c r="EX186" s="1708"/>
      <c r="EY186" s="1708"/>
      <c r="EZ186" s="1708"/>
      <c r="FA186" s="1708"/>
      <c r="FB186" s="1708"/>
      <c r="FC186" s="1708"/>
      <c r="FD186" s="1708"/>
      <c r="FE186" s="1708"/>
      <c r="FF186" s="1708"/>
      <c r="FG186" s="1708"/>
      <c r="FH186" s="1708"/>
      <c r="FI186" s="1708"/>
      <c r="FJ186" s="1708"/>
      <c r="FK186" s="1708"/>
      <c r="FL186" s="1708"/>
      <c r="FM186" s="1708"/>
      <c r="FN186" s="1708"/>
      <c r="FO186" s="1708"/>
      <c r="FP186" s="1708"/>
      <c r="FQ186" s="1708"/>
      <c r="FR186" s="1708"/>
      <c r="FS186" s="1708"/>
      <c r="FT186" s="1708"/>
      <c r="FU186" s="1708"/>
      <c r="FV186" s="1708"/>
      <c r="FW186" s="1708"/>
      <c r="FX186" s="1708"/>
      <c r="FY186" s="1708"/>
      <c r="FZ186" s="1708"/>
      <c r="GA186" s="1708"/>
      <c r="GB186" s="1708"/>
      <c r="GC186" s="1708"/>
      <c r="GD186" s="1708"/>
      <c r="GE186" s="1708"/>
      <c r="GF186" s="1708"/>
      <c r="GG186" s="1708"/>
      <c r="GH186" s="1708"/>
      <c r="GI186" s="1708"/>
      <c r="GJ186" s="1708"/>
      <c r="GK186" s="1708"/>
      <c r="GL186" s="1708"/>
      <c r="GM186" s="1708"/>
      <c r="GN186" s="1708"/>
      <c r="GO186" s="1708"/>
      <c r="GP186" s="1708"/>
      <c r="GQ186" s="1708"/>
      <c r="GR186" s="1708"/>
      <c r="GS186" s="1708"/>
      <c r="GT186" s="1708"/>
      <c r="GU186" s="1708"/>
      <c r="GV186" s="1708"/>
      <c r="GW186" s="1708"/>
      <c r="GX186" s="1708"/>
      <c r="GY186" s="1708"/>
      <c r="GZ186" s="1708"/>
      <c r="HA186" s="1708"/>
      <c r="HB186" s="1708"/>
      <c r="HC186" s="1708"/>
      <c r="HD186" s="1708"/>
      <c r="HE186" s="1708"/>
      <c r="HF186" s="1708"/>
      <c r="HG186" s="1708"/>
      <c r="HH186" s="1708"/>
      <c r="HI186" s="1708"/>
      <c r="HJ186" s="1708"/>
      <c r="HK186" s="1708"/>
      <c r="HL186" s="1708"/>
      <c r="HM186" s="1708"/>
      <c r="HN186" s="1708"/>
      <c r="HO186" s="1708"/>
      <c r="HP186" s="1708"/>
      <c r="HQ186" s="1708"/>
      <c r="HR186" s="1708"/>
      <c r="HS186" s="1708"/>
      <c r="HT186" s="1708"/>
      <c r="HU186" s="1708"/>
      <c r="HV186" s="1708"/>
      <c r="HW186" s="1708"/>
      <c r="HX186" s="1708"/>
      <c r="HY186" s="1708"/>
      <c r="HZ186" s="1708"/>
      <c r="IA186" s="1708"/>
      <c r="IB186" s="1708"/>
      <c r="IC186" s="1708"/>
      <c r="ID186" s="1708"/>
      <c r="IE186" s="1708"/>
      <c r="IF186" s="1708"/>
      <c r="IG186" s="1708"/>
      <c r="IH186" s="1708"/>
      <c r="II186" s="1708"/>
      <c r="IJ186" s="1708"/>
      <c r="IK186" s="1708"/>
      <c r="IL186" s="1708"/>
      <c r="IM186" s="1708"/>
      <c r="IN186" s="1708"/>
      <c r="IO186" s="1708"/>
      <c r="IP186" s="1708"/>
      <c r="IQ186" s="1708"/>
      <c r="IR186" s="1708"/>
      <c r="IS186" s="1708"/>
      <c r="IT186" s="1708"/>
      <c r="IU186" s="1708"/>
      <c r="IV186" s="1708"/>
    </row>
    <row r="187" spans="2:256" s="57" customFormat="1" x14ac:dyDescent="0.25">
      <c r="B187" s="1836"/>
      <c r="G187" s="1849"/>
      <c r="J187" s="1850"/>
      <c r="K187" s="1850"/>
      <c r="S187" s="1708"/>
      <c r="T187" s="1708"/>
      <c r="U187" s="1708"/>
      <c r="V187" s="1708"/>
      <c r="W187" s="1708"/>
      <c r="X187" s="1708"/>
      <c r="Y187" s="1708"/>
      <c r="Z187" s="1708"/>
      <c r="AA187" s="1708"/>
      <c r="AB187" s="1708"/>
      <c r="AC187" s="1708"/>
      <c r="AD187" s="1708"/>
      <c r="AE187" s="1708"/>
      <c r="AF187" s="1708"/>
      <c r="AG187" s="1708"/>
      <c r="AH187" s="1708"/>
      <c r="AI187" s="1708"/>
      <c r="AJ187" s="1708"/>
      <c r="AK187" s="1708"/>
      <c r="AL187" s="1708"/>
      <c r="AM187" s="1708"/>
      <c r="AN187" s="1708"/>
      <c r="AO187" s="1708"/>
      <c r="AP187" s="1708"/>
      <c r="AQ187" s="1708"/>
      <c r="AR187" s="1708"/>
      <c r="AS187" s="1708"/>
      <c r="AT187" s="1708"/>
      <c r="AU187" s="1708"/>
      <c r="AV187" s="1708"/>
      <c r="AW187" s="1708"/>
      <c r="AX187" s="1708"/>
      <c r="AY187" s="1708"/>
      <c r="AZ187" s="1708"/>
      <c r="BA187" s="1708"/>
      <c r="BB187" s="1708"/>
      <c r="BC187" s="1708"/>
      <c r="BD187" s="1708"/>
      <c r="BE187" s="1708"/>
      <c r="BF187" s="1708"/>
      <c r="BG187" s="1708"/>
      <c r="BH187" s="1708"/>
      <c r="BI187" s="1708"/>
      <c r="BJ187" s="1708"/>
      <c r="BK187" s="1708"/>
      <c r="BL187" s="1708"/>
      <c r="BM187" s="1708"/>
      <c r="BN187" s="1708"/>
      <c r="BO187" s="1708"/>
      <c r="BP187" s="1708"/>
      <c r="BQ187" s="1708"/>
      <c r="BR187" s="1708"/>
      <c r="BS187" s="1708"/>
      <c r="BT187" s="1708"/>
      <c r="BU187" s="1708"/>
      <c r="BV187" s="1708"/>
      <c r="BW187" s="1708"/>
      <c r="BX187" s="1708"/>
      <c r="BY187" s="1708"/>
      <c r="BZ187" s="1708"/>
      <c r="CA187" s="1708"/>
      <c r="CB187" s="1708"/>
      <c r="CC187" s="1708"/>
      <c r="CD187" s="1708"/>
      <c r="CE187" s="1708"/>
      <c r="CF187" s="1708"/>
      <c r="CG187" s="1708"/>
      <c r="CH187" s="1708"/>
      <c r="CI187" s="1708"/>
      <c r="CJ187" s="1708"/>
      <c r="CK187" s="1708"/>
      <c r="CL187" s="1708"/>
      <c r="CM187" s="1708"/>
      <c r="CN187" s="1708"/>
      <c r="CO187" s="1708"/>
      <c r="CP187" s="1708"/>
      <c r="CQ187" s="1708"/>
      <c r="CR187" s="1708"/>
      <c r="CS187" s="1708"/>
      <c r="CT187" s="1708"/>
      <c r="CU187" s="1708"/>
      <c r="CV187" s="1708"/>
      <c r="CW187" s="1708"/>
      <c r="CX187" s="1708"/>
      <c r="CY187" s="1708"/>
      <c r="CZ187" s="1708"/>
      <c r="DA187" s="1708"/>
      <c r="DB187" s="1708"/>
      <c r="DC187" s="1708"/>
      <c r="DD187" s="1708"/>
      <c r="DE187" s="1708"/>
      <c r="DF187" s="1708"/>
      <c r="DG187" s="1708"/>
      <c r="DH187" s="1708"/>
      <c r="DI187" s="1708"/>
      <c r="DJ187" s="1708"/>
      <c r="DK187" s="1708"/>
      <c r="DL187" s="1708"/>
      <c r="DM187" s="1708"/>
      <c r="DN187" s="1708"/>
      <c r="DO187" s="1708"/>
      <c r="DP187" s="1708"/>
      <c r="DQ187" s="1708"/>
      <c r="DR187" s="1708"/>
      <c r="DS187" s="1708"/>
      <c r="DT187" s="1708"/>
      <c r="DU187" s="1708"/>
      <c r="DV187" s="1708"/>
      <c r="DW187" s="1708"/>
      <c r="DX187" s="1708"/>
      <c r="DY187" s="1708"/>
      <c r="DZ187" s="1708"/>
      <c r="EA187" s="1708"/>
      <c r="EB187" s="1708"/>
      <c r="EC187" s="1708"/>
      <c r="ED187" s="1708"/>
      <c r="EE187" s="1708"/>
      <c r="EF187" s="1708"/>
      <c r="EG187" s="1708"/>
      <c r="EH187" s="1708"/>
      <c r="EI187" s="1708"/>
      <c r="EJ187" s="1708"/>
      <c r="EK187" s="1708"/>
      <c r="EL187" s="1708"/>
      <c r="EM187" s="1708"/>
      <c r="EN187" s="1708"/>
      <c r="EO187" s="1708"/>
      <c r="EP187" s="1708"/>
      <c r="EQ187" s="1708"/>
      <c r="ER187" s="1708"/>
      <c r="ES187" s="1708"/>
      <c r="ET187" s="1708"/>
      <c r="EU187" s="1708"/>
      <c r="EV187" s="1708"/>
      <c r="EW187" s="1708"/>
      <c r="EX187" s="1708"/>
      <c r="EY187" s="1708"/>
      <c r="EZ187" s="1708"/>
      <c r="FA187" s="1708"/>
      <c r="FB187" s="1708"/>
      <c r="FC187" s="1708"/>
      <c r="FD187" s="1708"/>
      <c r="FE187" s="1708"/>
      <c r="FF187" s="1708"/>
      <c r="FG187" s="1708"/>
      <c r="FH187" s="1708"/>
      <c r="FI187" s="1708"/>
      <c r="FJ187" s="1708"/>
      <c r="FK187" s="1708"/>
      <c r="FL187" s="1708"/>
      <c r="FM187" s="1708"/>
      <c r="FN187" s="1708"/>
      <c r="FO187" s="1708"/>
      <c r="FP187" s="1708"/>
      <c r="FQ187" s="1708"/>
      <c r="FR187" s="1708"/>
      <c r="FS187" s="1708"/>
      <c r="FT187" s="1708"/>
      <c r="FU187" s="1708"/>
      <c r="FV187" s="1708"/>
      <c r="FW187" s="1708"/>
      <c r="FX187" s="1708"/>
      <c r="FY187" s="1708"/>
      <c r="FZ187" s="1708"/>
      <c r="GA187" s="1708"/>
      <c r="GB187" s="1708"/>
      <c r="GC187" s="1708"/>
      <c r="GD187" s="1708"/>
      <c r="GE187" s="1708"/>
      <c r="GF187" s="1708"/>
      <c r="GG187" s="1708"/>
      <c r="GH187" s="1708"/>
      <c r="GI187" s="1708"/>
      <c r="GJ187" s="1708"/>
      <c r="GK187" s="1708"/>
      <c r="GL187" s="1708"/>
      <c r="GM187" s="1708"/>
      <c r="GN187" s="1708"/>
      <c r="GO187" s="1708"/>
      <c r="GP187" s="1708"/>
      <c r="GQ187" s="1708"/>
      <c r="GR187" s="1708"/>
      <c r="GS187" s="1708"/>
      <c r="GT187" s="1708"/>
      <c r="GU187" s="1708"/>
      <c r="GV187" s="1708"/>
      <c r="GW187" s="1708"/>
      <c r="GX187" s="1708"/>
      <c r="GY187" s="1708"/>
      <c r="GZ187" s="1708"/>
      <c r="HA187" s="1708"/>
      <c r="HB187" s="1708"/>
      <c r="HC187" s="1708"/>
      <c r="HD187" s="1708"/>
      <c r="HE187" s="1708"/>
      <c r="HF187" s="1708"/>
      <c r="HG187" s="1708"/>
      <c r="HH187" s="1708"/>
      <c r="HI187" s="1708"/>
      <c r="HJ187" s="1708"/>
      <c r="HK187" s="1708"/>
      <c r="HL187" s="1708"/>
      <c r="HM187" s="1708"/>
      <c r="HN187" s="1708"/>
      <c r="HO187" s="1708"/>
      <c r="HP187" s="1708"/>
      <c r="HQ187" s="1708"/>
      <c r="HR187" s="1708"/>
      <c r="HS187" s="1708"/>
      <c r="HT187" s="1708"/>
      <c r="HU187" s="1708"/>
      <c r="HV187" s="1708"/>
      <c r="HW187" s="1708"/>
      <c r="HX187" s="1708"/>
      <c r="HY187" s="1708"/>
      <c r="HZ187" s="1708"/>
      <c r="IA187" s="1708"/>
      <c r="IB187" s="1708"/>
      <c r="IC187" s="1708"/>
      <c r="ID187" s="1708"/>
      <c r="IE187" s="1708"/>
      <c r="IF187" s="1708"/>
      <c r="IG187" s="1708"/>
      <c r="IH187" s="1708"/>
      <c r="II187" s="1708"/>
      <c r="IJ187" s="1708"/>
      <c r="IK187" s="1708"/>
      <c r="IL187" s="1708"/>
      <c r="IM187" s="1708"/>
      <c r="IN187" s="1708"/>
      <c r="IO187" s="1708"/>
      <c r="IP187" s="1708"/>
      <c r="IQ187" s="1708"/>
      <c r="IR187" s="1708"/>
      <c r="IS187" s="1708"/>
      <c r="IT187" s="1708"/>
      <c r="IU187" s="1708"/>
      <c r="IV187" s="1708"/>
    </row>
    <row r="188" spans="2:256" s="57" customFormat="1" x14ac:dyDescent="0.25">
      <c r="B188" s="1836"/>
      <c r="G188" s="1849"/>
      <c r="J188" s="1850"/>
      <c r="K188" s="1850"/>
      <c r="S188" s="1708"/>
      <c r="T188" s="1708"/>
      <c r="U188" s="1708"/>
      <c r="V188" s="1708"/>
      <c r="W188" s="1708"/>
      <c r="X188" s="1708"/>
      <c r="Y188" s="1708"/>
      <c r="Z188" s="1708"/>
      <c r="AA188" s="1708"/>
      <c r="AB188" s="1708"/>
      <c r="AC188" s="1708"/>
      <c r="AD188" s="1708"/>
      <c r="AE188" s="1708"/>
      <c r="AF188" s="1708"/>
      <c r="AG188" s="1708"/>
      <c r="AH188" s="1708"/>
      <c r="AI188" s="1708"/>
      <c r="AJ188" s="1708"/>
      <c r="AK188" s="1708"/>
      <c r="AL188" s="1708"/>
      <c r="AM188" s="1708"/>
      <c r="AN188" s="1708"/>
      <c r="AO188" s="1708"/>
      <c r="AP188" s="1708"/>
      <c r="AQ188" s="1708"/>
      <c r="AR188" s="1708"/>
      <c r="AS188" s="1708"/>
      <c r="AT188" s="1708"/>
      <c r="AU188" s="1708"/>
      <c r="AV188" s="1708"/>
      <c r="AW188" s="1708"/>
      <c r="AX188" s="1708"/>
      <c r="AY188" s="1708"/>
      <c r="AZ188" s="1708"/>
      <c r="BA188" s="1708"/>
      <c r="BB188" s="1708"/>
      <c r="BC188" s="1708"/>
      <c r="BD188" s="1708"/>
      <c r="BE188" s="1708"/>
      <c r="BF188" s="1708"/>
      <c r="BG188" s="1708"/>
      <c r="BH188" s="1708"/>
      <c r="BI188" s="1708"/>
      <c r="BJ188" s="1708"/>
      <c r="BK188" s="1708"/>
      <c r="BL188" s="1708"/>
      <c r="BM188" s="1708"/>
      <c r="BN188" s="1708"/>
      <c r="BO188" s="1708"/>
      <c r="BP188" s="1708"/>
      <c r="BQ188" s="1708"/>
      <c r="BR188" s="1708"/>
      <c r="BS188" s="1708"/>
      <c r="BT188" s="1708"/>
      <c r="BU188" s="1708"/>
      <c r="BV188" s="1708"/>
      <c r="BW188" s="1708"/>
      <c r="BX188" s="1708"/>
      <c r="BY188" s="1708"/>
      <c r="BZ188" s="1708"/>
      <c r="CA188" s="1708"/>
      <c r="CB188" s="1708"/>
      <c r="CC188" s="1708"/>
      <c r="CD188" s="1708"/>
      <c r="CE188" s="1708"/>
      <c r="CF188" s="1708"/>
      <c r="CG188" s="1708"/>
      <c r="CH188" s="1708"/>
      <c r="CI188" s="1708"/>
      <c r="CJ188" s="1708"/>
      <c r="CK188" s="1708"/>
      <c r="CL188" s="1708"/>
      <c r="CM188" s="1708"/>
      <c r="CN188" s="1708"/>
      <c r="CO188" s="1708"/>
      <c r="CP188" s="1708"/>
      <c r="CQ188" s="1708"/>
      <c r="CR188" s="1708"/>
      <c r="CS188" s="1708"/>
      <c r="CT188" s="1708"/>
      <c r="CU188" s="1708"/>
      <c r="CV188" s="1708"/>
      <c r="CW188" s="1708"/>
      <c r="CX188" s="1708"/>
      <c r="CY188" s="1708"/>
      <c r="CZ188" s="1708"/>
      <c r="DA188" s="1708"/>
      <c r="DB188" s="1708"/>
      <c r="DC188" s="1708"/>
      <c r="DD188" s="1708"/>
      <c r="DE188" s="1708"/>
      <c r="DF188" s="1708"/>
      <c r="DG188" s="1708"/>
      <c r="DH188" s="1708"/>
      <c r="DI188" s="1708"/>
      <c r="DJ188" s="1708"/>
      <c r="DK188" s="1708"/>
      <c r="DL188" s="1708"/>
      <c r="DM188" s="1708"/>
      <c r="DN188" s="1708"/>
      <c r="DO188" s="1708"/>
      <c r="DP188" s="1708"/>
      <c r="DQ188" s="1708"/>
      <c r="DR188" s="1708"/>
      <c r="DS188" s="1708"/>
      <c r="DT188" s="1708"/>
      <c r="DU188" s="1708"/>
      <c r="DV188" s="1708"/>
      <c r="DW188" s="1708"/>
      <c r="DX188" s="1708"/>
      <c r="DY188" s="1708"/>
      <c r="DZ188" s="1708"/>
      <c r="EA188" s="1708"/>
      <c r="EB188" s="1708"/>
      <c r="EC188" s="1708"/>
      <c r="ED188" s="1708"/>
      <c r="EE188" s="1708"/>
      <c r="EF188" s="1708"/>
      <c r="EG188" s="1708"/>
      <c r="EH188" s="1708"/>
      <c r="EI188" s="1708"/>
      <c r="EJ188" s="1708"/>
      <c r="EK188" s="1708"/>
      <c r="EL188" s="1708"/>
      <c r="EM188" s="1708"/>
      <c r="EN188" s="1708"/>
      <c r="EO188" s="1708"/>
      <c r="EP188" s="1708"/>
      <c r="EQ188" s="1708"/>
      <c r="ER188" s="1708"/>
      <c r="ES188" s="1708"/>
      <c r="ET188" s="1708"/>
      <c r="EU188" s="1708"/>
      <c r="EV188" s="1708"/>
      <c r="EW188" s="1708"/>
      <c r="EX188" s="1708"/>
      <c r="EY188" s="1708"/>
      <c r="EZ188" s="1708"/>
      <c r="FA188" s="1708"/>
      <c r="FB188" s="1708"/>
      <c r="FC188" s="1708"/>
      <c r="FD188" s="1708"/>
      <c r="FE188" s="1708"/>
      <c r="FF188" s="1708"/>
      <c r="FG188" s="1708"/>
      <c r="FH188" s="1708"/>
      <c r="FI188" s="1708"/>
      <c r="FJ188" s="1708"/>
      <c r="FK188" s="1708"/>
      <c r="FL188" s="1708"/>
      <c r="FM188" s="1708"/>
      <c r="FN188" s="1708"/>
      <c r="FO188" s="1708"/>
      <c r="FP188" s="1708"/>
      <c r="FQ188" s="1708"/>
      <c r="FR188" s="1708"/>
      <c r="FS188" s="1708"/>
      <c r="FT188" s="1708"/>
      <c r="FU188" s="1708"/>
      <c r="FV188" s="1708"/>
      <c r="FW188" s="1708"/>
      <c r="FX188" s="1708"/>
      <c r="FY188" s="1708"/>
      <c r="FZ188" s="1708"/>
      <c r="GA188" s="1708"/>
      <c r="GB188" s="1708"/>
      <c r="GC188" s="1708"/>
      <c r="GD188" s="1708"/>
      <c r="GE188" s="1708"/>
      <c r="GF188" s="1708"/>
      <c r="GG188" s="1708"/>
      <c r="GH188" s="1708"/>
      <c r="GI188" s="1708"/>
      <c r="GJ188" s="1708"/>
      <c r="GK188" s="1708"/>
      <c r="GL188" s="1708"/>
      <c r="GM188" s="1708"/>
      <c r="GN188" s="1708"/>
      <c r="GO188" s="1708"/>
      <c r="GP188" s="1708"/>
      <c r="GQ188" s="1708"/>
      <c r="GR188" s="1708"/>
      <c r="GS188" s="1708"/>
      <c r="GT188" s="1708"/>
      <c r="GU188" s="1708"/>
      <c r="GV188" s="1708"/>
      <c r="GW188" s="1708"/>
      <c r="GX188" s="1708"/>
      <c r="GY188" s="1708"/>
      <c r="GZ188" s="1708"/>
      <c r="HA188" s="1708"/>
      <c r="HB188" s="1708"/>
      <c r="HC188" s="1708"/>
      <c r="HD188" s="1708"/>
      <c r="HE188" s="1708"/>
      <c r="HF188" s="1708"/>
      <c r="HG188" s="1708"/>
      <c r="HH188" s="1708"/>
      <c r="HI188" s="1708"/>
      <c r="HJ188" s="1708"/>
      <c r="HK188" s="1708"/>
      <c r="HL188" s="1708"/>
      <c r="HM188" s="1708"/>
      <c r="HN188" s="1708"/>
      <c r="HO188" s="1708"/>
      <c r="HP188" s="1708"/>
      <c r="HQ188" s="1708"/>
      <c r="HR188" s="1708"/>
      <c r="HS188" s="1708"/>
      <c r="HT188" s="1708"/>
      <c r="HU188" s="1708"/>
      <c r="HV188" s="1708"/>
      <c r="HW188" s="1708"/>
      <c r="HX188" s="1708"/>
      <c r="HY188" s="1708"/>
      <c r="HZ188" s="1708"/>
      <c r="IA188" s="1708"/>
      <c r="IB188" s="1708"/>
      <c r="IC188" s="1708"/>
      <c r="ID188" s="1708"/>
      <c r="IE188" s="1708"/>
      <c r="IF188" s="1708"/>
      <c r="IG188" s="1708"/>
      <c r="IH188" s="1708"/>
      <c r="II188" s="1708"/>
      <c r="IJ188" s="1708"/>
      <c r="IK188" s="1708"/>
      <c r="IL188" s="1708"/>
      <c r="IM188" s="1708"/>
      <c r="IN188" s="1708"/>
      <c r="IO188" s="1708"/>
      <c r="IP188" s="1708"/>
      <c r="IQ188" s="1708"/>
      <c r="IR188" s="1708"/>
      <c r="IS188" s="1708"/>
      <c r="IT188" s="1708"/>
      <c r="IU188" s="1708"/>
      <c r="IV188" s="1708"/>
    </row>
    <row r="189" spans="2:256" s="57" customFormat="1" x14ac:dyDescent="0.25">
      <c r="B189" s="1836"/>
      <c r="G189" s="1849"/>
      <c r="J189" s="1850"/>
      <c r="K189" s="1850"/>
      <c r="S189" s="1708"/>
      <c r="T189" s="1708"/>
      <c r="U189" s="1708"/>
      <c r="V189" s="1708"/>
      <c r="W189" s="1708"/>
      <c r="X189" s="1708"/>
      <c r="Y189" s="1708"/>
      <c r="Z189" s="1708"/>
      <c r="AA189" s="1708"/>
      <c r="AB189" s="1708"/>
      <c r="AC189" s="1708"/>
      <c r="AD189" s="1708"/>
      <c r="AE189" s="1708"/>
      <c r="AF189" s="1708"/>
      <c r="AG189" s="1708"/>
      <c r="AH189" s="1708"/>
      <c r="AI189" s="1708"/>
      <c r="AJ189" s="1708"/>
      <c r="AK189" s="1708"/>
      <c r="AL189" s="1708"/>
      <c r="AM189" s="1708"/>
      <c r="AN189" s="1708"/>
      <c r="AO189" s="1708"/>
      <c r="AP189" s="1708"/>
      <c r="AQ189" s="1708"/>
      <c r="AR189" s="1708"/>
      <c r="AS189" s="1708"/>
      <c r="AT189" s="1708"/>
      <c r="AU189" s="1708"/>
      <c r="AV189" s="1708"/>
      <c r="AW189" s="1708"/>
      <c r="AX189" s="1708"/>
      <c r="AY189" s="1708"/>
      <c r="AZ189" s="1708"/>
      <c r="BA189" s="1708"/>
      <c r="BB189" s="1708"/>
      <c r="BC189" s="1708"/>
      <c r="BD189" s="1708"/>
      <c r="BE189" s="1708"/>
      <c r="BF189" s="1708"/>
      <c r="BG189" s="1708"/>
      <c r="BH189" s="1708"/>
      <c r="BI189" s="1708"/>
      <c r="BJ189" s="1708"/>
      <c r="BK189" s="1708"/>
      <c r="BL189" s="1708"/>
      <c r="BM189" s="1708"/>
      <c r="BN189" s="1708"/>
      <c r="BO189" s="1708"/>
      <c r="BP189" s="1708"/>
      <c r="BQ189" s="1708"/>
      <c r="BR189" s="1708"/>
      <c r="BS189" s="1708"/>
      <c r="BT189" s="1708"/>
      <c r="BU189" s="1708"/>
      <c r="BV189" s="1708"/>
      <c r="BW189" s="1708"/>
      <c r="BX189" s="1708"/>
      <c r="BY189" s="1708"/>
      <c r="BZ189" s="1708"/>
      <c r="CA189" s="1708"/>
      <c r="CB189" s="1708"/>
      <c r="CC189" s="1708"/>
      <c r="CD189" s="1708"/>
      <c r="CE189" s="1708"/>
      <c r="CF189" s="1708"/>
      <c r="CG189" s="1708"/>
      <c r="CH189" s="1708"/>
      <c r="CI189" s="1708"/>
      <c r="CJ189" s="1708"/>
      <c r="CK189" s="1708"/>
      <c r="CL189" s="1708"/>
      <c r="CM189" s="1708"/>
      <c r="CN189" s="1708"/>
      <c r="CO189" s="1708"/>
      <c r="CP189" s="1708"/>
      <c r="CQ189" s="1708"/>
      <c r="CR189" s="1708"/>
      <c r="CS189" s="1708"/>
      <c r="CT189" s="1708"/>
      <c r="CU189" s="1708"/>
      <c r="CV189" s="1708"/>
      <c r="CW189" s="1708"/>
      <c r="CX189" s="1708"/>
      <c r="CY189" s="1708"/>
      <c r="CZ189" s="1708"/>
      <c r="DA189" s="1708"/>
      <c r="DB189" s="1708"/>
      <c r="DC189" s="1708"/>
      <c r="DD189" s="1708"/>
      <c r="DE189" s="1708"/>
      <c r="DF189" s="1708"/>
      <c r="DG189" s="1708"/>
      <c r="DH189" s="1708"/>
      <c r="DI189" s="1708"/>
      <c r="DJ189" s="1708"/>
      <c r="DK189" s="1708"/>
      <c r="DL189" s="1708"/>
      <c r="DM189" s="1708"/>
      <c r="DN189" s="1708"/>
      <c r="DO189" s="1708"/>
      <c r="DP189" s="1708"/>
      <c r="DQ189" s="1708"/>
      <c r="DR189" s="1708"/>
      <c r="DS189" s="1708"/>
      <c r="DT189" s="1708"/>
      <c r="DU189" s="1708"/>
      <c r="DV189" s="1708"/>
      <c r="DW189" s="1708"/>
      <c r="DX189" s="1708"/>
      <c r="DY189" s="1708"/>
      <c r="DZ189" s="1708"/>
      <c r="EA189" s="1708"/>
      <c r="EB189" s="1708"/>
      <c r="EC189" s="1708"/>
      <c r="ED189" s="1708"/>
      <c r="EE189" s="1708"/>
      <c r="EF189" s="1708"/>
      <c r="EG189" s="1708"/>
      <c r="EH189" s="1708"/>
      <c r="EI189" s="1708"/>
      <c r="EJ189" s="1708"/>
      <c r="EK189" s="1708"/>
      <c r="EL189" s="1708"/>
      <c r="EM189" s="1708"/>
      <c r="EN189" s="1708"/>
      <c r="EO189" s="1708"/>
      <c r="EP189" s="1708"/>
      <c r="EQ189" s="1708"/>
      <c r="ER189" s="1708"/>
      <c r="ES189" s="1708"/>
      <c r="ET189" s="1708"/>
      <c r="EU189" s="1708"/>
      <c r="EV189" s="1708"/>
      <c r="EW189" s="1708"/>
      <c r="EX189" s="1708"/>
      <c r="EY189" s="1708"/>
      <c r="EZ189" s="1708"/>
      <c r="FA189" s="1708"/>
      <c r="FB189" s="1708"/>
      <c r="FC189" s="1708"/>
      <c r="FD189" s="1708"/>
      <c r="FE189" s="1708"/>
      <c r="FF189" s="1708"/>
      <c r="FG189" s="1708"/>
      <c r="FH189" s="1708"/>
      <c r="FI189" s="1708"/>
      <c r="FJ189" s="1708"/>
      <c r="FK189" s="1708"/>
      <c r="FL189" s="1708"/>
      <c r="FM189" s="1708"/>
      <c r="FN189" s="1708"/>
      <c r="FO189" s="1708"/>
      <c r="FP189" s="1708"/>
      <c r="FQ189" s="1708"/>
      <c r="FR189" s="1708"/>
      <c r="FS189" s="1708"/>
      <c r="FT189" s="1708"/>
      <c r="FU189" s="1708"/>
      <c r="FV189" s="1708"/>
      <c r="FW189" s="1708"/>
      <c r="FX189" s="1708"/>
      <c r="FY189" s="1708"/>
      <c r="FZ189" s="1708"/>
      <c r="GA189" s="1708"/>
      <c r="GB189" s="1708"/>
      <c r="GC189" s="1708"/>
      <c r="GD189" s="1708"/>
      <c r="GE189" s="1708"/>
      <c r="GF189" s="1708"/>
      <c r="GG189" s="1708"/>
      <c r="GH189" s="1708"/>
      <c r="GI189" s="1708"/>
      <c r="GJ189" s="1708"/>
      <c r="GK189" s="1708"/>
      <c r="GL189" s="1708"/>
      <c r="GM189" s="1708"/>
      <c r="GN189" s="1708"/>
      <c r="GO189" s="1708"/>
      <c r="GP189" s="1708"/>
      <c r="GQ189" s="1708"/>
      <c r="GR189" s="1708"/>
      <c r="GS189" s="1708"/>
      <c r="GT189" s="1708"/>
      <c r="GU189" s="1708"/>
      <c r="GV189" s="1708"/>
      <c r="GW189" s="1708"/>
      <c r="GX189" s="1708"/>
      <c r="GY189" s="1708"/>
      <c r="GZ189" s="1708"/>
      <c r="HA189" s="1708"/>
      <c r="HB189" s="1708"/>
      <c r="HC189" s="1708"/>
      <c r="HD189" s="1708"/>
      <c r="HE189" s="1708"/>
      <c r="HF189" s="1708"/>
      <c r="HG189" s="1708"/>
      <c r="HH189" s="1708"/>
      <c r="HI189" s="1708"/>
      <c r="HJ189" s="1708"/>
      <c r="HK189" s="1708"/>
      <c r="HL189" s="1708"/>
      <c r="HM189" s="1708"/>
      <c r="HN189" s="1708"/>
      <c r="HO189" s="1708"/>
      <c r="HP189" s="1708"/>
      <c r="HQ189" s="1708"/>
      <c r="HR189" s="1708"/>
      <c r="HS189" s="1708"/>
      <c r="HT189" s="1708"/>
      <c r="HU189" s="1708"/>
      <c r="HV189" s="1708"/>
      <c r="HW189" s="1708"/>
      <c r="HX189" s="1708"/>
      <c r="HY189" s="1708"/>
      <c r="HZ189" s="1708"/>
      <c r="IA189" s="1708"/>
      <c r="IB189" s="1708"/>
      <c r="IC189" s="1708"/>
      <c r="ID189" s="1708"/>
      <c r="IE189" s="1708"/>
      <c r="IF189" s="1708"/>
      <c r="IG189" s="1708"/>
      <c r="IH189" s="1708"/>
      <c r="II189" s="1708"/>
      <c r="IJ189" s="1708"/>
      <c r="IK189" s="1708"/>
      <c r="IL189" s="1708"/>
      <c r="IM189" s="1708"/>
      <c r="IN189" s="1708"/>
      <c r="IO189" s="1708"/>
      <c r="IP189" s="1708"/>
      <c r="IQ189" s="1708"/>
      <c r="IR189" s="1708"/>
      <c r="IS189" s="1708"/>
      <c r="IT189" s="1708"/>
      <c r="IU189" s="1708"/>
      <c r="IV189" s="1708"/>
    </row>
    <row r="190" spans="2:256" s="57" customFormat="1" x14ac:dyDescent="0.25">
      <c r="B190" s="1836"/>
      <c r="G190" s="1849"/>
      <c r="J190" s="1850"/>
      <c r="K190" s="1850"/>
      <c r="S190" s="1708"/>
      <c r="T190" s="1708"/>
      <c r="U190" s="1708"/>
      <c r="V190" s="1708"/>
      <c r="W190" s="1708"/>
      <c r="X190" s="1708"/>
      <c r="Y190" s="1708"/>
      <c r="Z190" s="1708"/>
      <c r="AA190" s="1708"/>
      <c r="AB190" s="1708"/>
      <c r="AC190" s="1708"/>
      <c r="AD190" s="1708"/>
      <c r="AE190" s="1708"/>
      <c r="AF190" s="1708"/>
      <c r="AG190" s="1708"/>
      <c r="AH190" s="1708"/>
      <c r="AI190" s="1708"/>
      <c r="AJ190" s="1708"/>
      <c r="AK190" s="1708"/>
      <c r="AL190" s="1708"/>
      <c r="AM190" s="1708"/>
      <c r="AN190" s="1708"/>
      <c r="AO190" s="1708"/>
      <c r="AP190" s="1708"/>
      <c r="AQ190" s="1708"/>
      <c r="AR190" s="1708"/>
      <c r="AS190" s="1708"/>
      <c r="AT190" s="1708"/>
      <c r="AU190" s="1708"/>
      <c r="AV190" s="1708"/>
      <c r="AW190" s="1708"/>
      <c r="AX190" s="1708"/>
      <c r="AY190" s="1708"/>
      <c r="AZ190" s="1708"/>
      <c r="BA190" s="1708"/>
      <c r="BB190" s="1708"/>
      <c r="BC190" s="1708"/>
      <c r="BD190" s="1708"/>
      <c r="BE190" s="1708"/>
      <c r="BF190" s="1708"/>
      <c r="BG190" s="1708"/>
      <c r="BH190" s="1708"/>
      <c r="BI190" s="1708"/>
      <c r="BJ190" s="1708"/>
      <c r="BK190" s="1708"/>
      <c r="BL190" s="1708"/>
      <c r="BM190" s="1708"/>
      <c r="BN190" s="1708"/>
      <c r="BO190" s="1708"/>
      <c r="BP190" s="1708"/>
      <c r="BQ190" s="1708"/>
      <c r="BR190" s="1708"/>
      <c r="BS190" s="1708"/>
      <c r="BT190" s="1708"/>
      <c r="BU190" s="1708"/>
      <c r="BV190" s="1708"/>
      <c r="BW190" s="1708"/>
      <c r="BX190" s="1708"/>
      <c r="BY190" s="1708"/>
      <c r="BZ190" s="1708"/>
      <c r="CA190" s="1708"/>
      <c r="CB190" s="1708"/>
      <c r="CC190" s="1708"/>
      <c r="CD190" s="1708"/>
      <c r="CE190" s="1708"/>
      <c r="CF190" s="1708"/>
      <c r="CG190" s="1708"/>
      <c r="CH190" s="1708"/>
      <c r="CI190" s="1708"/>
      <c r="CJ190" s="1708"/>
      <c r="CK190" s="1708"/>
      <c r="CL190" s="1708"/>
      <c r="CM190" s="1708"/>
      <c r="CN190" s="1708"/>
      <c r="CO190" s="1708"/>
      <c r="CP190" s="1708"/>
      <c r="CQ190" s="1708"/>
      <c r="CR190" s="1708"/>
      <c r="CS190" s="1708"/>
      <c r="CT190" s="1708"/>
      <c r="CU190" s="1708"/>
      <c r="CV190" s="1708"/>
      <c r="CW190" s="1708"/>
      <c r="CX190" s="1708"/>
      <c r="CY190" s="1708"/>
      <c r="CZ190" s="1708"/>
      <c r="DA190" s="1708"/>
      <c r="DB190" s="1708"/>
      <c r="DC190" s="1708"/>
      <c r="DD190" s="1708"/>
      <c r="DE190" s="1708"/>
      <c r="DF190" s="1708"/>
      <c r="DG190" s="1708"/>
      <c r="DH190" s="1708"/>
      <c r="DI190" s="1708"/>
      <c r="DJ190" s="1708"/>
      <c r="DK190" s="1708"/>
      <c r="DL190" s="1708"/>
      <c r="DM190" s="1708"/>
      <c r="DN190" s="1708"/>
      <c r="DO190" s="1708"/>
      <c r="DP190" s="1708"/>
      <c r="DQ190" s="1708"/>
      <c r="DR190" s="1708"/>
      <c r="DS190" s="1708"/>
      <c r="DT190" s="1708"/>
      <c r="DU190" s="1708"/>
      <c r="DV190" s="1708"/>
      <c r="DW190" s="1708"/>
      <c r="DX190" s="1708"/>
      <c r="DY190" s="1708"/>
      <c r="DZ190" s="1708"/>
      <c r="EA190" s="1708"/>
      <c r="EB190" s="1708"/>
      <c r="EC190" s="1708"/>
      <c r="ED190" s="1708"/>
      <c r="EE190" s="1708"/>
      <c r="EF190" s="1708"/>
      <c r="EG190" s="1708"/>
      <c r="EH190" s="1708"/>
      <c r="EI190" s="1708"/>
      <c r="EJ190" s="1708"/>
      <c r="EK190" s="1708"/>
      <c r="EL190" s="1708"/>
      <c r="EM190" s="1708"/>
      <c r="EN190" s="1708"/>
      <c r="EO190" s="1708"/>
      <c r="EP190" s="1708"/>
      <c r="EQ190" s="1708"/>
      <c r="ER190" s="1708"/>
      <c r="ES190" s="1708"/>
      <c r="ET190" s="1708"/>
      <c r="EU190" s="1708"/>
      <c r="EV190" s="1708"/>
      <c r="EW190" s="1708"/>
      <c r="EX190" s="1708"/>
      <c r="EY190" s="1708"/>
      <c r="EZ190" s="1708"/>
      <c r="FA190" s="1708"/>
      <c r="FB190" s="1708"/>
      <c r="FC190" s="1708"/>
      <c r="FD190" s="1708"/>
      <c r="FE190" s="1708"/>
      <c r="FF190" s="1708"/>
      <c r="FG190" s="1708"/>
      <c r="FH190" s="1708"/>
      <c r="FI190" s="1708"/>
      <c r="FJ190" s="1708"/>
      <c r="FK190" s="1708"/>
      <c r="FL190" s="1708"/>
      <c r="FM190" s="1708"/>
      <c r="FN190" s="1708"/>
      <c r="FO190" s="1708"/>
      <c r="FP190" s="1708"/>
      <c r="FQ190" s="1708"/>
      <c r="FR190" s="1708"/>
      <c r="FS190" s="1708"/>
      <c r="FT190" s="1708"/>
      <c r="FU190" s="1708"/>
      <c r="FV190" s="1708"/>
      <c r="FW190" s="1708"/>
      <c r="FX190" s="1708"/>
      <c r="FY190" s="1708"/>
      <c r="FZ190" s="1708"/>
      <c r="GA190" s="1708"/>
      <c r="GB190" s="1708"/>
      <c r="GC190" s="1708"/>
      <c r="GD190" s="1708"/>
      <c r="GE190" s="1708"/>
      <c r="GF190" s="1708"/>
      <c r="GG190" s="1708"/>
      <c r="GH190" s="1708"/>
      <c r="GI190" s="1708"/>
      <c r="GJ190" s="1708"/>
      <c r="GK190" s="1708"/>
      <c r="GL190" s="1708"/>
      <c r="GM190" s="1708"/>
      <c r="GN190" s="1708"/>
      <c r="GO190" s="1708"/>
      <c r="GP190" s="1708"/>
      <c r="GQ190" s="1708"/>
      <c r="GR190" s="1708"/>
      <c r="GS190" s="1708"/>
      <c r="GT190" s="1708"/>
      <c r="GU190" s="1708"/>
      <c r="GV190" s="1708"/>
      <c r="GW190" s="1708"/>
      <c r="GX190" s="1708"/>
      <c r="GY190" s="1708"/>
      <c r="GZ190" s="1708"/>
      <c r="HA190" s="1708"/>
      <c r="HB190" s="1708"/>
      <c r="HC190" s="1708"/>
      <c r="HD190" s="1708"/>
      <c r="HE190" s="1708"/>
      <c r="HF190" s="1708"/>
      <c r="HG190" s="1708"/>
      <c r="HH190" s="1708"/>
      <c r="HI190" s="1708"/>
      <c r="HJ190" s="1708"/>
      <c r="HK190" s="1708"/>
      <c r="HL190" s="1708"/>
      <c r="HM190" s="1708"/>
      <c r="HN190" s="1708"/>
      <c r="HO190" s="1708"/>
      <c r="HP190" s="1708"/>
      <c r="HQ190" s="1708"/>
      <c r="HR190" s="1708"/>
      <c r="HS190" s="1708"/>
      <c r="HT190" s="1708"/>
      <c r="HU190" s="1708"/>
      <c r="HV190" s="1708"/>
      <c r="HW190" s="1708"/>
      <c r="HX190" s="1708"/>
      <c r="HY190" s="1708"/>
      <c r="HZ190" s="1708"/>
      <c r="IA190" s="1708"/>
      <c r="IB190" s="1708"/>
      <c r="IC190" s="1708"/>
      <c r="ID190" s="1708"/>
      <c r="IE190" s="1708"/>
      <c r="IF190" s="1708"/>
      <c r="IG190" s="1708"/>
      <c r="IH190" s="1708"/>
      <c r="II190" s="1708"/>
      <c r="IJ190" s="1708"/>
      <c r="IK190" s="1708"/>
      <c r="IL190" s="1708"/>
      <c r="IM190" s="1708"/>
      <c r="IN190" s="1708"/>
      <c r="IO190" s="1708"/>
      <c r="IP190" s="1708"/>
      <c r="IQ190" s="1708"/>
      <c r="IR190" s="1708"/>
      <c r="IS190" s="1708"/>
      <c r="IT190" s="1708"/>
      <c r="IU190" s="1708"/>
      <c r="IV190" s="1708"/>
    </row>
    <row r="191" spans="2:256" s="57" customFormat="1" x14ac:dyDescent="0.25">
      <c r="B191" s="1836"/>
      <c r="G191" s="1849"/>
      <c r="J191" s="1850"/>
      <c r="K191" s="1850"/>
      <c r="S191" s="1708"/>
      <c r="T191" s="1708"/>
      <c r="U191" s="1708"/>
      <c r="V191" s="1708"/>
      <c r="W191" s="1708"/>
      <c r="X191" s="1708"/>
      <c r="Y191" s="1708"/>
      <c r="Z191" s="1708"/>
      <c r="AA191" s="1708"/>
      <c r="AB191" s="1708"/>
      <c r="AC191" s="1708"/>
      <c r="AD191" s="1708"/>
      <c r="AE191" s="1708"/>
      <c r="AF191" s="1708"/>
      <c r="AG191" s="1708"/>
      <c r="AH191" s="1708"/>
      <c r="AI191" s="1708"/>
      <c r="AJ191" s="1708"/>
      <c r="AK191" s="1708"/>
      <c r="AL191" s="1708"/>
      <c r="AM191" s="1708"/>
      <c r="AN191" s="1708"/>
      <c r="AO191" s="1708"/>
      <c r="AP191" s="1708"/>
      <c r="AQ191" s="1708"/>
      <c r="AR191" s="1708"/>
      <c r="AS191" s="1708"/>
      <c r="AT191" s="1708"/>
      <c r="AU191" s="1708"/>
      <c r="AV191" s="1708"/>
      <c r="AW191" s="1708"/>
      <c r="AX191" s="1708"/>
      <c r="AY191" s="1708"/>
      <c r="AZ191" s="1708"/>
      <c r="BA191" s="1708"/>
      <c r="BB191" s="1708"/>
      <c r="BC191" s="1708"/>
      <c r="BD191" s="1708"/>
      <c r="BE191" s="1708"/>
      <c r="BF191" s="1708"/>
      <c r="BG191" s="1708"/>
      <c r="BH191" s="1708"/>
      <c r="BI191" s="1708"/>
      <c r="BJ191" s="1708"/>
      <c r="BK191" s="1708"/>
      <c r="BL191" s="1708"/>
      <c r="BM191" s="1708"/>
      <c r="BN191" s="1708"/>
      <c r="BO191" s="1708"/>
      <c r="BP191" s="1708"/>
      <c r="BQ191" s="1708"/>
      <c r="BR191" s="1708"/>
      <c r="BS191" s="1708"/>
      <c r="BT191" s="1708"/>
      <c r="BU191" s="1708"/>
      <c r="BV191" s="1708"/>
      <c r="BW191" s="1708"/>
      <c r="BX191" s="1708"/>
      <c r="BY191" s="1708"/>
      <c r="BZ191" s="1708"/>
      <c r="CA191" s="1708"/>
      <c r="CB191" s="1708"/>
      <c r="CC191" s="1708"/>
      <c r="CD191" s="1708"/>
      <c r="CE191" s="1708"/>
      <c r="CF191" s="1708"/>
      <c r="CG191" s="1708"/>
      <c r="CH191" s="1708"/>
      <c r="CI191" s="1708"/>
      <c r="CJ191" s="1708"/>
      <c r="CK191" s="1708"/>
      <c r="CL191" s="1708"/>
      <c r="CM191" s="1708"/>
      <c r="CN191" s="1708"/>
      <c r="CO191" s="1708"/>
      <c r="CP191" s="1708"/>
      <c r="CQ191" s="1708"/>
      <c r="CR191" s="1708"/>
      <c r="CS191" s="1708"/>
      <c r="CT191" s="1708"/>
      <c r="CU191" s="1708"/>
      <c r="CV191" s="1708"/>
      <c r="CW191" s="1708"/>
      <c r="CX191" s="1708"/>
      <c r="CY191" s="1708"/>
      <c r="CZ191" s="1708"/>
      <c r="DA191" s="1708"/>
      <c r="DB191" s="1708"/>
      <c r="DC191" s="1708"/>
      <c r="DD191" s="1708"/>
      <c r="DE191" s="1708"/>
      <c r="DF191" s="1708"/>
      <c r="DG191" s="1708"/>
      <c r="DH191" s="1708"/>
      <c r="DI191" s="1708"/>
      <c r="DJ191" s="1708"/>
      <c r="DK191" s="1708"/>
      <c r="DL191" s="1708"/>
      <c r="DM191" s="1708"/>
      <c r="DN191" s="1708"/>
      <c r="DO191" s="1708"/>
      <c r="DP191" s="1708"/>
      <c r="DQ191" s="1708"/>
      <c r="DR191" s="1708"/>
      <c r="DS191" s="1708"/>
      <c r="DT191" s="1708"/>
      <c r="DU191" s="1708"/>
      <c r="DV191" s="1708"/>
      <c r="DW191" s="1708"/>
      <c r="DX191" s="1708"/>
      <c r="DY191" s="1708"/>
      <c r="DZ191" s="1708"/>
      <c r="EA191" s="1708"/>
      <c r="EB191" s="1708"/>
      <c r="EC191" s="1708"/>
      <c r="ED191" s="1708"/>
      <c r="EE191" s="1708"/>
      <c r="EF191" s="1708"/>
      <c r="EG191" s="1708"/>
      <c r="EH191" s="1708"/>
      <c r="EI191" s="1708"/>
      <c r="EJ191" s="1708"/>
      <c r="EK191" s="1708"/>
      <c r="EL191" s="1708"/>
      <c r="EM191" s="1708"/>
      <c r="EN191" s="1708"/>
      <c r="EO191" s="1708"/>
      <c r="EP191" s="1708"/>
      <c r="EQ191" s="1708"/>
      <c r="ER191" s="1708"/>
      <c r="ES191" s="1708"/>
      <c r="ET191" s="1708"/>
      <c r="EU191" s="1708"/>
      <c r="EV191" s="1708"/>
      <c r="EW191" s="1708"/>
      <c r="EX191" s="1708"/>
      <c r="EY191" s="1708"/>
      <c r="EZ191" s="1708"/>
      <c r="FA191" s="1708"/>
      <c r="FB191" s="1708"/>
      <c r="FC191" s="1708"/>
      <c r="FD191" s="1708"/>
      <c r="FE191" s="1708"/>
      <c r="FF191" s="1708"/>
      <c r="FG191" s="1708"/>
      <c r="FH191" s="1708"/>
      <c r="FI191" s="1708"/>
      <c r="FJ191" s="1708"/>
      <c r="FK191" s="1708"/>
      <c r="FL191" s="1708"/>
      <c r="FM191" s="1708"/>
      <c r="FN191" s="1708"/>
      <c r="FO191" s="1708"/>
      <c r="FP191" s="1708"/>
      <c r="FQ191" s="1708"/>
      <c r="FR191" s="1708"/>
      <c r="FS191" s="1708"/>
      <c r="FT191" s="1708"/>
      <c r="FU191" s="1708"/>
      <c r="FV191" s="1708"/>
      <c r="FW191" s="1708"/>
      <c r="FX191" s="1708"/>
      <c r="FY191" s="1708"/>
      <c r="FZ191" s="1708"/>
      <c r="GA191" s="1708"/>
      <c r="GB191" s="1708"/>
      <c r="GC191" s="1708"/>
      <c r="GD191" s="1708"/>
      <c r="GE191" s="1708"/>
      <c r="GF191" s="1708"/>
      <c r="GG191" s="1708"/>
      <c r="GH191" s="1708"/>
      <c r="GI191" s="1708"/>
      <c r="GJ191" s="1708"/>
      <c r="GK191" s="1708"/>
      <c r="GL191" s="1708"/>
      <c r="GM191" s="1708"/>
      <c r="GN191" s="1708"/>
      <c r="GO191" s="1708"/>
      <c r="GP191" s="1708"/>
      <c r="GQ191" s="1708"/>
      <c r="GR191" s="1708"/>
      <c r="GS191" s="1708"/>
      <c r="GT191" s="1708"/>
      <c r="GU191" s="1708"/>
      <c r="GV191" s="1708"/>
      <c r="GW191" s="1708"/>
      <c r="GX191" s="1708"/>
      <c r="GY191" s="1708"/>
      <c r="GZ191" s="1708"/>
      <c r="HA191" s="1708"/>
      <c r="HB191" s="1708"/>
      <c r="HC191" s="1708"/>
      <c r="HD191" s="1708"/>
      <c r="HE191" s="1708"/>
      <c r="HF191" s="1708"/>
      <c r="HG191" s="1708"/>
      <c r="HH191" s="1708"/>
      <c r="HI191" s="1708"/>
      <c r="HJ191" s="1708"/>
      <c r="HK191" s="1708"/>
      <c r="HL191" s="1708"/>
      <c r="HM191" s="1708"/>
      <c r="HN191" s="1708"/>
      <c r="HO191" s="1708"/>
      <c r="HP191" s="1708"/>
      <c r="HQ191" s="1708"/>
      <c r="HR191" s="1708"/>
      <c r="HS191" s="1708"/>
      <c r="HT191" s="1708"/>
      <c r="HU191" s="1708"/>
      <c r="HV191" s="1708"/>
      <c r="HW191" s="1708"/>
      <c r="HX191" s="1708"/>
      <c r="HY191" s="1708"/>
      <c r="HZ191" s="1708"/>
      <c r="IA191" s="1708"/>
      <c r="IB191" s="1708"/>
      <c r="IC191" s="1708"/>
      <c r="ID191" s="1708"/>
      <c r="IE191" s="1708"/>
      <c r="IF191" s="1708"/>
      <c r="IG191" s="1708"/>
      <c r="IH191" s="1708"/>
      <c r="II191" s="1708"/>
      <c r="IJ191" s="1708"/>
      <c r="IK191" s="1708"/>
      <c r="IL191" s="1708"/>
      <c r="IM191" s="1708"/>
      <c r="IN191" s="1708"/>
      <c r="IO191" s="1708"/>
      <c r="IP191" s="1708"/>
      <c r="IQ191" s="1708"/>
      <c r="IR191" s="1708"/>
      <c r="IS191" s="1708"/>
      <c r="IT191" s="1708"/>
      <c r="IU191" s="1708"/>
      <c r="IV191" s="1708"/>
    </row>
    <row r="192" spans="2:256" s="57" customFormat="1" x14ac:dyDescent="0.25">
      <c r="B192" s="1836"/>
      <c r="G192" s="1849"/>
      <c r="J192" s="1850"/>
      <c r="K192" s="1850"/>
      <c r="S192" s="1708"/>
      <c r="T192" s="1708"/>
      <c r="U192" s="1708"/>
      <c r="V192" s="1708"/>
      <c r="W192" s="1708"/>
      <c r="X192" s="1708"/>
      <c r="Y192" s="1708"/>
      <c r="Z192" s="1708"/>
      <c r="AA192" s="1708"/>
      <c r="AB192" s="1708"/>
      <c r="AC192" s="1708"/>
      <c r="AD192" s="1708"/>
      <c r="AE192" s="1708"/>
      <c r="AF192" s="1708"/>
      <c r="AG192" s="1708"/>
      <c r="AH192" s="1708"/>
      <c r="AI192" s="1708"/>
      <c r="AJ192" s="1708"/>
      <c r="AK192" s="1708"/>
      <c r="AL192" s="1708"/>
      <c r="AM192" s="1708"/>
      <c r="AN192" s="1708"/>
      <c r="AO192" s="1708"/>
      <c r="AP192" s="1708"/>
      <c r="AQ192" s="1708"/>
      <c r="AR192" s="1708"/>
      <c r="AS192" s="1708"/>
      <c r="AT192" s="1708"/>
      <c r="AU192" s="1708"/>
      <c r="AV192" s="1708"/>
      <c r="AW192" s="1708"/>
      <c r="AX192" s="1708"/>
      <c r="AY192" s="1708"/>
      <c r="AZ192" s="1708"/>
      <c r="BA192" s="1708"/>
      <c r="BB192" s="1708"/>
      <c r="BC192" s="1708"/>
      <c r="BD192" s="1708"/>
      <c r="BE192" s="1708"/>
      <c r="BF192" s="1708"/>
      <c r="BG192" s="1708"/>
      <c r="BH192" s="1708"/>
      <c r="BI192" s="1708"/>
      <c r="BJ192" s="1708"/>
      <c r="BK192" s="1708"/>
      <c r="BL192" s="1708"/>
      <c r="BM192" s="1708"/>
      <c r="BN192" s="1708"/>
      <c r="BO192" s="1708"/>
      <c r="BP192" s="1708"/>
      <c r="BQ192" s="1708"/>
      <c r="BR192" s="1708"/>
      <c r="BS192" s="1708"/>
      <c r="BT192" s="1708"/>
      <c r="BU192" s="1708"/>
      <c r="BV192" s="1708"/>
      <c r="BW192" s="1708"/>
      <c r="BX192" s="1708"/>
      <c r="BY192" s="1708"/>
      <c r="BZ192" s="1708"/>
      <c r="CA192" s="1708"/>
      <c r="CB192" s="1708"/>
      <c r="CC192" s="1708"/>
      <c r="CD192" s="1708"/>
      <c r="CE192" s="1708"/>
      <c r="CF192" s="1708"/>
      <c r="CG192" s="1708"/>
      <c r="CH192" s="1708"/>
      <c r="CI192" s="1708"/>
      <c r="CJ192" s="1708"/>
      <c r="CK192" s="1708"/>
      <c r="CL192" s="1708"/>
      <c r="CM192" s="1708"/>
      <c r="CN192" s="1708"/>
      <c r="CO192" s="1708"/>
      <c r="CP192" s="1708"/>
      <c r="CQ192" s="1708"/>
      <c r="CR192" s="1708"/>
      <c r="CS192" s="1708"/>
      <c r="CT192" s="1708"/>
      <c r="CU192" s="1708"/>
      <c r="CV192" s="1708"/>
      <c r="CW192" s="1708"/>
      <c r="CX192" s="1708"/>
      <c r="CY192" s="1708"/>
      <c r="CZ192" s="1708"/>
      <c r="DA192" s="1708"/>
      <c r="DB192" s="1708"/>
      <c r="DC192" s="1708"/>
      <c r="DD192" s="1708"/>
      <c r="DE192" s="1708"/>
      <c r="DF192" s="1708"/>
      <c r="DG192" s="1708"/>
      <c r="DH192" s="1708"/>
      <c r="DI192" s="1708"/>
      <c r="DJ192" s="1708"/>
      <c r="DK192" s="1708"/>
      <c r="DL192" s="1708"/>
      <c r="DM192" s="1708"/>
      <c r="DN192" s="1708"/>
      <c r="DO192" s="1708"/>
      <c r="DP192" s="1708"/>
      <c r="DQ192" s="1708"/>
      <c r="DR192" s="1708"/>
      <c r="DS192" s="1708"/>
      <c r="DT192" s="1708"/>
      <c r="DU192" s="1708"/>
      <c r="DV192" s="1708"/>
      <c r="DW192" s="1708"/>
      <c r="DX192" s="1708"/>
      <c r="DY192" s="1708"/>
      <c r="DZ192" s="1708"/>
      <c r="EA192" s="1708"/>
      <c r="EB192" s="1708"/>
      <c r="EC192" s="1708"/>
      <c r="ED192" s="1708"/>
      <c r="EE192" s="1708"/>
      <c r="EF192" s="1708"/>
      <c r="EG192" s="1708"/>
      <c r="EH192" s="1708"/>
      <c r="EI192" s="1708"/>
      <c r="EJ192" s="1708"/>
      <c r="EK192" s="1708"/>
      <c r="EL192" s="1708"/>
      <c r="EM192" s="1708"/>
      <c r="EN192" s="1708"/>
      <c r="EO192" s="1708"/>
      <c r="EP192" s="1708"/>
      <c r="EQ192" s="1708"/>
      <c r="ER192" s="1708"/>
      <c r="ES192" s="1708"/>
      <c r="ET192" s="1708"/>
      <c r="EU192" s="1708"/>
      <c r="EV192" s="1708"/>
      <c r="EW192" s="1708"/>
      <c r="EX192" s="1708"/>
      <c r="EY192" s="1708"/>
      <c r="EZ192" s="1708"/>
      <c r="FA192" s="1708"/>
      <c r="FB192" s="1708"/>
      <c r="FC192" s="1708"/>
      <c r="FD192" s="1708"/>
      <c r="FE192" s="1708"/>
      <c r="FF192" s="1708"/>
      <c r="FG192" s="1708"/>
      <c r="FH192" s="1708"/>
      <c r="FI192" s="1708"/>
      <c r="FJ192" s="1708"/>
      <c r="FK192" s="1708"/>
      <c r="FL192" s="1708"/>
      <c r="FM192" s="1708"/>
      <c r="FN192" s="1708"/>
      <c r="FO192" s="1708"/>
      <c r="FP192" s="1708"/>
      <c r="FQ192" s="1708"/>
      <c r="FR192" s="1708"/>
      <c r="FS192" s="1708"/>
      <c r="FT192" s="1708"/>
      <c r="FU192" s="1708"/>
      <c r="FV192" s="1708"/>
      <c r="FW192" s="1708"/>
      <c r="FX192" s="1708"/>
      <c r="FY192" s="1708"/>
      <c r="FZ192" s="1708"/>
      <c r="GA192" s="1708"/>
      <c r="GB192" s="1708"/>
      <c r="GC192" s="1708"/>
      <c r="GD192" s="1708"/>
      <c r="GE192" s="1708"/>
      <c r="GF192" s="1708"/>
      <c r="GG192" s="1708"/>
      <c r="GH192" s="1708"/>
      <c r="GI192" s="1708"/>
      <c r="GJ192" s="1708"/>
      <c r="GK192" s="1708"/>
      <c r="GL192" s="1708"/>
      <c r="GM192" s="1708"/>
      <c r="GN192" s="1708"/>
      <c r="GO192" s="1708"/>
      <c r="GP192" s="1708"/>
      <c r="GQ192" s="1708"/>
      <c r="GR192" s="1708"/>
      <c r="GS192" s="1708"/>
      <c r="GT192" s="1708"/>
      <c r="GU192" s="1708"/>
      <c r="GV192" s="1708"/>
      <c r="GW192" s="1708"/>
      <c r="GX192" s="1708"/>
      <c r="GY192" s="1708"/>
      <c r="GZ192" s="1708"/>
      <c r="HA192" s="1708"/>
      <c r="HB192" s="1708"/>
      <c r="HC192" s="1708"/>
      <c r="HD192" s="1708"/>
      <c r="HE192" s="1708"/>
      <c r="HF192" s="1708"/>
      <c r="HG192" s="1708"/>
      <c r="HH192" s="1708"/>
      <c r="HI192" s="1708"/>
      <c r="HJ192" s="1708"/>
      <c r="HK192" s="1708"/>
      <c r="HL192" s="1708"/>
      <c r="HM192" s="1708"/>
      <c r="HN192" s="1708"/>
      <c r="HO192" s="1708"/>
      <c r="HP192" s="1708"/>
      <c r="HQ192" s="1708"/>
      <c r="HR192" s="1708"/>
      <c r="HS192" s="1708"/>
      <c r="HT192" s="1708"/>
      <c r="HU192" s="1708"/>
      <c r="HV192" s="1708"/>
      <c r="HW192" s="1708"/>
      <c r="HX192" s="1708"/>
      <c r="HY192" s="1708"/>
      <c r="HZ192" s="1708"/>
      <c r="IA192" s="1708"/>
      <c r="IB192" s="1708"/>
      <c r="IC192" s="1708"/>
      <c r="ID192" s="1708"/>
      <c r="IE192" s="1708"/>
      <c r="IF192" s="1708"/>
      <c r="IG192" s="1708"/>
      <c r="IH192" s="1708"/>
      <c r="II192" s="1708"/>
      <c r="IJ192" s="1708"/>
      <c r="IK192" s="1708"/>
      <c r="IL192" s="1708"/>
      <c r="IM192" s="1708"/>
      <c r="IN192" s="1708"/>
      <c r="IO192" s="1708"/>
      <c r="IP192" s="1708"/>
      <c r="IQ192" s="1708"/>
      <c r="IR192" s="1708"/>
      <c r="IS192" s="1708"/>
      <c r="IT192" s="1708"/>
      <c r="IU192" s="1708"/>
      <c r="IV192" s="1708"/>
    </row>
    <row r="193" spans="2:256" s="57" customFormat="1" x14ac:dyDescent="0.25">
      <c r="B193" s="1836"/>
      <c r="G193" s="1849"/>
      <c r="J193" s="1850"/>
      <c r="K193" s="1850"/>
      <c r="S193" s="1708"/>
      <c r="T193" s="1708"/>
      <c r="U193" s="1708"/>
      <c r="V193" s="1708"/>
      <c r="W193" s="1708"/>
      <c r="X193" s="1708"/>
      <c r="Y193" s="1708"/>
      <c r="Z193" s="1708"/>
      <c r="AA193" s="1708"/>
      <c r="AB193" s="1708"/>
      <c r="AC193" s="1708"/>
      <c r="AD193" s="1708"/>
      <c r="AE193" s="1708"/>
      <c r="AF193" s="1708"/>
      <c r="AG193" s="1708"/>
      <c r="AH193" s="1708"/>
      <c r="AI193" s="1708"/>
      <c r="AJ193" s="1708"/>
      <c r="AK193" s="1708"/>
      <c r="AL193" s="1708"/>
      <c r="AM193" s="1708"/>
      <c r="AN193" s="1708"/>
      <c r="AO193" s="1708"/>
      <c r="AP193" s="1708"/>
      <c r="AQ193" s="1708"/>
      <c r="AR193" s="1708"/>
      <c r="AS193" s="1708"/>
      <c r="AT193" s="1708"/>
      <c r="AU193" s="1708"/>
      <c r="AV193" s="1708"/>
      <c r="AW193" s="1708"/>
      <c r="AX193" s="1708"/>
      <c r="AY193" s="1708"/>
      <c r="AZ193" s="1708"/>
      <c r="BA193" s="1708"/>
      <c r="BB193" s="1708"/>
      <c r="BC193" s="1708"/>
      <c r="BD193" s="1708"/>
      <c r="BE193" s="1708"/>
      <c r="BF193" s="1708"/>
      <c r="BG193" s="1708"/>
      <c r="BH193" s="1708"/>
      <c r="BI193" s="1708"/>
      <c r="BJ193" s="1708"/>
      <c r="BK193" s="1708"/>
      <c r="BL193" s="1708"/>
      <c r="BM193" s="1708"/>
      <c r="BN193" s="1708"/>
      <c r="BO193" s="1708"/>
      <c r="BP193" s="1708"/>
      <c r="BQ193" s="1708"/>
      <c r="BR193" s="1708"/>
      <c r="BS193" s="1708"/>
      <c r="BT193" s="1708"/>
      <c r="BU193" s="1708"/>
      <c r="BV193" s="1708"/>
      <c r="BW193" s="1708"/>
      <c r="BX193" s="1708"/>
      <c r="BY193" s="1708"/>
      <c r="BZ193" s="1708"/>
      <c r="CA193" s="1708"/>
      <c r="CB193" s="1708"/>
      <c r="CC193" s="1708"/>
      <c r="CD193" s="1708"/>
      <c r="CE193" s="1708"/>
      <c r="CF193" s="1708"/>
      <c r="CG193" s="1708"/>
      <c r="CH193" s="1708"/>
      <c r="CI193" s="1708"/>
      <c r="CJ193" s="1708"/>
      <c r="CK193" s="1708"/>
      <c r="CL193" s="1708"/>
      <c r="CM193" s="1708"/>
      <c r="CN193" s="1708"/>
      <c r="CO193" s="1708"/>
      <c r="CP193" s="1708"/>
      <c r="CQ193" s="1708"/>
      <c r="CR193" s="1708"/>
      <c r="CS193" s="1708"/>
      <c r="CT193" s="1708"/>
      <c r="CU193" s="1708"/>
      <c r="CV193" s="1708"/>
      <c r="CW193" s="1708"/>
      <c r="CX193" s="1708"/>
      <c r="CY193" s="1708"/>
      <c r="CZ193" s="1708"/>
      <c r="DA193" s="1708"/>
      <c r="DB193" s="1708"/>
      <c r="DC193" s="1708"/>
      <c r="DD193" s="1708"/>
      <c r="DE193" s="1708"/>
      <c r="DF193" s="1708"/>
      <c r="DG193" s="1708"/>
      <c r="DH193" s="1708"/>
      <c r="DI193" s="1708"/>
      <c r="DJ193" s="1708"/>
      <c r="DK193" s="1708"/>
      <c r="DL193" s="1708"/>
      <c r="DM193" s="1708"/>
      <c r="DN193" s="1708"/>
      <c r="DO193" s="1708"/>
      <c r="DP193" s="1708"/>
      <c r="DQ193" s="1708"/>
      <c r="DR193" s="1708"/>
      <c r="DS193" s="1708"/>
      <c r="DT193" s="1708"/>
      <c r="DU193" s="1708"/>
      <c r="DV193" s="1708"/>
      <c r="DW193" s="1708"/>
      <c r="DX193" s="1708"/>
      <c r="DY193" s="1708"/>
      <c r="DZ193" s="1708"/>
      <c r="EA193" s="1708"/>
      <c r="EB193" s="1708"/>
      <c r="EC193" s="1708"/>
      <c r="ED193" s="1708"/>
      <c r="EE193" s="1708"/>
      <c r="EF193" s="1708"/>
      <c r="EG193" s="1708"/>
      <c r="EH193" s="1708"/>
      <c r="EI193" s="1708"/>
      <c r="EJ193" s="1708"/>
      <c r="EK193" s="1708"/>
      <c r="EL193" s="1708"/>
      <c r="EM193" s="1708"/>
      <c r="EN193" s="1708"/>
      <c r="EO193" s="1708"/>
      <c r="EP193" s="1708"/>
      <c r="EQ193" s="1708"/>
      <c r="ER193" s="1708"/>
      <c r="ES193" s="1708"/>
      <c r="ET193" s="1708"/>
      <c r="EU193" s="1708"/>
      <c r="EV193" s="1708"/>
      <c r="EW193" s="1708"/>
      <c r="EX193" s="1708"/>
      <c r="EY193" s="1708"/>
      <c r="EZ193" s="1708"/>
      <c r="FA193" s="1708"/>
      <c r="FB193" s="1708"/>
      <c r="FC193" s="1708"/>
      <c r="FD193" s="1708"/>
      <c r="FE193" s="1708"/>
      <c r="FF193" s="1708"/>
      <c r="FG193" s="1708"/>
      <c r="FH193" s="1708"/>
      <c r="FI193" s="1708"/>
      <c r="FJ193" s="1708"/>
      <c r="FK193" s="1708"/>
      <c r="FL193" s="1708"/>
      <c r="FM193" s="1708"/>
      <c r="FN193" s="1708"/>
      <c r="FO193" s="1708"/>
      <c r="FP193" s="1708"/>
      <c r="FQ193" s="1708"/>
      <c r="FR193" s="1708"/>
      <c r="FS193" s="1708"/>
      <c r="FT193" s="1708"/>
      <c r="FU193" s="1708"/>
      <c r="FV193" s="1708"/>
      <c r="FW193" s="1708"/>
      <c r="FX193" s="1708"/>
      <c r="FY193" s="1708"/>
      <c r="FZ193" s="1708"/>
      <c r="GA193" s="1708"/>
      <c r="GB193" s="1708"/>
      <c r="GC193" s="1708"/>
      <c r="GD193" s="1708"/>
      <c r="GE193" s="1708"/>
      <c r="GF193" s="1708"/>
      <c r="GG193" s="1708"/>
      <c r="GH193" s="1708"/>
      <c r="GI193" s="1708"/>
      <c r="GJ193" s="1708"/>
      <c r="GK193" s="1708"/>
      <c r="GL193" s="1708"/>
      <c r="GM193" s="1708"/>
      <c r="GN193" s="1708"/>
      <c r="GO193" s="1708"/>
      <c r="GP193" s="1708"/>
      <c r="GQ193" s="1708"/>
      <c r="GR193" s="1708"/>
      <c r="GS193" s="1708"/>
      <c r="GT193" s="1708"/>
      <c r="GU193" s="1708"/>
      <c r="GV193" s="1708"/>
      <c r="GW193" s="1708"/>
      <c r="GX193" s="1708"/>
      <c r="GY193" s="1708"/>
      <c r="GZ193" s="1708"/>
      <c r="HA193" s="1708"/>
      <c r="HB193" s="1708"/>
      <c r="HC193" s="1708"/>
      <c r="HD193" s="1708"/>
      <c r="HE193" s="1708"/>
      <c r="HF193" s="1708"/>
      <c r="HG193" s="1708"/>
      <c r="HH193" s="1708"/>
      <c r="HI193" s="1708"/>
      <c r="HJ193" s="1708"/>
      <c r="HK193" s="1708"/>
      <c r="HL193" s="1708"/>
      <c r="HM193" s="1708"/>
      <c r="HN193" s="1708"/>
      <c r="HO193" s="1708"/>
      <c r="HP193" s="1708"/>
      <c r="HQ193" s="1708"/>
      <c r="HR193" s="1708"/>
      <c r="HS193" s="1708"/>
      <c r="HT193" s="1708"/>
      <c r="HU193" s="1708"/>
      <c r="HV193" s="1708"/>
      <c r="HW193" s="1708"/>
      <c r="HX193" s="1708"/>
      <c r="HY193" s="1708"/>
      <c r="HZ193" s="1708"/>
      <c r="IA193" s="1708"/>
      <c r="IB193" s="1708"/>
      <c r="IC193" s="1708"/>
      <c r="ID193" s="1708"/>
      <c r="IE193" s="1708"/>
      <c r="IF193" s="1708"/>
      <c r="IG193" s="1708"/>
      <c r="IH193" s="1708"/>
      <c r="II193" s="1708"/>
      <c r="IJ193" s="1708"/>
      <c r="IK193" s="1708"/>
      <c r="IL193" s="1708"/>
      <c r="IM193" s="1708"/>
      <c r="IN193" s="1708"/>
      <c r="IO193" s="1708"/>
      <c r="IP193" s="1708"/>
      <c r="IQ193" s="1708"/>
      <c r="IR193" s="1708"/>
      <c r="IS193" s="1708"/>
      <c r="IT193" s="1708"/>
      <c r="IU193" s="1708"/>
      <c r="IV193" s="1708"/>
    </row>
    <row r="194" spans="2:256" s="57" customFormat="1" x14ac:dyDescent="0.25">
      <c r="B194" s="1836"/>
      <c r="G194" s="1849"/>
      <c r="J194" s="1850"/>
      <c r="K194" s="1850"/>
      <c r="S194" s="1708"/>
      <c r="T194" s="1708"/>
      <c r="U194" s="1708"/>
      <c r="V194" s="1708"/>
      <c r="W194" s="1708"/>
      <c r="X194" s="1708"/>
      <c r="Y194" s="1708"/>
      <c r="Z194" s="1708"/>
      <c r="AA194" s="1708"/>
      <c r="AB194" s="1708"/>
      <c r="AC194" s="1708"/>
      <c r="AD194" s="1708"/>
      <c r="AE194" s="1708"/>
      <c r="AF194" s="1708"/>
      <c r="AG194" s="1708"/>
      <c r="AH194" s="1708"/>
      <c r="AI194" s="1708"/>
      <c r="AJ194" s="1708"/>
      <c r="AK194" s="1708"/>
      <c r="AL194" s="1708"/>
      <c r="AM194" s="1708"/>
      <c r="AN194" s="1708"/>
      <c r="AO194" s="1708"/>
      <c r="AP194" s="1708"/>
      <c r="AQ194" s="1708"/>
      <c r="AR194" s="1708"/>
      <c r="AS194" s="1708"/>
      <c r="AT194" s="1708"/>
      <c r="AU194" s="1708"/>
      <c r="AV194" s="1708"/>
      <c r="AW194" s="1708"/>
      <c r="AX194" s="1708"/>
      <c r="AY194" s="1708"/>
      <c r="AZ194" s="1708"/>
      <c r="BA194" s="1708"/>
      <c r="BB194" s="1708"/>
      <c r="BC194" s="1708"/>
      <c r="BD194" s="1708"/>
      <c r="BE194" s="1708"/>
      <c r="BF194" s="1708"/>
      <c r="BG194" s="1708"/>
      <c r="BH194" s="1708"/>
      <c r="BI194" s="1708"/>
      <c r="BJ194" s="1708"/>
      <c r="BK194" s="1708"/>
      <c r="BL194" s="1708"/>
      <c r="BM194" s="1708"/>
      <c r="BN194" s="1708"/>
      <c r="BO194" s="1708"/>
      <c r="BP194" s="1708"/>
      <c r="BQ194" s="1708"/>
      <c r="BR194" s="1708"/>
      <c r="BS194" s="1708"/>
      <c r="BT194" s="1708"/>
      <c r="BU194" s="1708"/>
      <c r="BV194" s="1708"/>
      <c r="BW194" s="1708"/>
      <c r="BX194" s="1708"/>
      <c r="BY194" s="1708"/>
      <c r="BZ194" s="1708"/>
      <c r="CA194" s="1708"/>
      <c r="CB194" s="1708"/>
      <c r="CC194" s="1708"/>
      <c r="CD194" s="1708"/>
      <c r="CE194" s="1708"/>
      <c r="CF194" s="1708"/>
      <c r="CG194" s="1708"/>
      <c r="CH194" s="1708"/>
      <c r="CI194" s="1708"/>
      <c r="CJ194" s="1708"/>
      <c r="CK194" s="1708"/>
      <c r="CL194" s="1708"/>
      <c r="CM194" s="1708"/>
      <c r="CN194" s="1708"/>
      <c r="CO194" s="1708"/>
      <c r="CP194" s="1708"/>
      <c r="CQ194" s="1708"/>
      <c r="CR194" s="1708"/>
      <c r="CS194" s="1708"/>
      <c r="CT194" s="1708"/>
      <c r="CU194" s="1708"/>
      <c r="CV194" s="1708"/>
      <c r="CW194" s="1708"/>
      <c r="CX194" s="1708"/>
      <c r="CY194" s="1708"/>
      <c r="CZ194" s="1708"/>
      <c r="DA194" s="1708"/>
      <c r="DB194" s="1708"/>
      <c r="DC194" s="1708"/>
      <c r="DD194" s="1708"/>
      <c r="DE194" s="1708"/>
      <c r="DF194" s="1708"/>
      <c r="DG194" s="1708"/>
      <c r="DH194" s="1708"/>
      <c r="DI194" s="1708"/>
      <c r="DJ194" s="1708"/>
      <c r="DK194" s="1708"/>
      <c r="DL194" s="1708"/>
      <c r="DM194" s="1708"/>
      <c r="DN194" s="1708"/>
      <c r="DO194" s="1708"/>
      <c r="DP194" s="1708"/>
      <c r="DQ194" s="1708"/>
      <c r="DR194" s="1708"/>
      <c r="DS194" s="1708"/>
      <c r="DT194" s="1708"/>
      <c r="DU194" s="1708"/>
      <c r="DV194" s="1708"/>
      <c r="DW194" s="1708"/>
      <c r="DX194" s="1708"/>
      <c r="DY194" s="1708"/>
      <c r="DZ194" s="1708"/>
      <c r="EA194" s="1708"/>
      <c r="EB194" s="1708"/>
      <c r="EC194" s="1708"/>
      <c r="ED194" s="1708"/>
      <c r="EE194" s="1708"/>
      <c r="EF194" s="1708"/>
      <c r="EG194" s="1708"/>
      <c r="EH194" s="1708"/>
      <c r="EI194" s="1708"/>
      <c r="EJ194" s="1708"/>
      <c r="EK194" s="1708"/>
      <c r="EL194" s="1708"/>
      <c r="EM194" s="1708"/>
      <c r="EN194" s="1708"/>
      <c r="EO194" s="1708"/>
      <c r="EP194" s="1708"/>
      <c r="EQ194" s="1708"/>
      <c r="ER194" s="1708"/>
      <c r="ES194" s="1708"/>
      <c r="ET194" s="1708"/>
      <c r="EU194" s="1708"/>
      <c r="EV194" s="1708"/>
      <c r="EW194" s="1708"/>
      <c r="EX194" s="1708"/>
      <c r="EY194" s="1708"/>
      <c r="EZ194" s="1708"/>
      <c r="FA194" s="1708"/>
      <c r="FB194" s="1708"/>
      <c r="FC194" s="1708"/>
      <c r="FD194" s="1708"/>
      <c r="FE194" s="1708"/>
      <c r="FF194" s="1708"/>
      <c r="FG194" s="1708"/>
      <c r="FH194" s="1708"/>
      <c r="FI194" s="1708"/>
      <c r="FJ194" s="1708"/>
      <c r="FK194" s="1708"/>
      <c r="FL194" s="1708"/>
      <c r="FM194" s="1708"/>
      <c r="FN194" s="1708"/>
      <c r="FO194" s="1708"/>
      <c r="FP194" s="1708"/>
      <c r="FQ194" s="1708"/>
      <c r="FR194" s="1708"/>
      <c r="FS194" s="1708"/>
      <c r="FT194" s="1708"/>
      <c r="FU194" s="1708"/>
      <c r="FV194" s="1708"/>
      <c r="FW194" s="1708"/>
      <c r="FX194" s="1708"/>
      <c r="FY194" s="1708"/>
      <c r="FZ194" s="1708"/>
      <c r="GA194" s="1708"/>
      <c r="GB194" s="1708"/>
      <c r="GC194" s="1708"/>
      <c r="GD194" s="1708"/>
      <c r="GE194" s="1708"/>
      <c r="GF194" s="1708"/>
      <c r="GG194" s="1708"/>
      <c r="GH194" s="1708"/>
      <c r="GI194" s="1708"/>
      <c r="GJ194" s="1708"/>
      <c r="GK194" s="1708"/>
      <c r="GL194" s="1708"/>
      <c r="GM194" s="1708"/>
      <c r="GN194" s="1708"/>
      <c r="GO194" s="1708"/>
      <c r="GP194" s="1708"/>
      <c r="GQ194" s="1708"/>
      <c r="GR194" s="1708"/>
      <c r="GS194" s="1708"/>
      <c r="GT194" s="1708"/>
      <c r="GU194" s="1708"/>
      <c r="GV194" s="1708"/>
      <c r="GW194" s="1708"/>
      <c r="GX194" s="1708"/>
      <c r="GY194" s="1708"/>
      <c r="GZ194" s="1708"/>
      <c r="HA194" s="1708"/>
      <c r="HB194" s="1708"/>
      <c r="HC194" s="1708"/>
      <c r="HD194" s="1708"/>
      <c r="HE194" s="1708"/>
      <c r="HF194" s="1708"/>
      <c r="HG194" s="1708"/>
      <c r="HH194" s="1708"/>
      <c r="HI194" s="1708"/>
      <c r="HJ194" s="1708"/>
      <c r="HK194" s="1708"/>
      <c r="HL194" s="1708"/>
      <c r="HM194" s="1708"/>
      <c r="HN194" s="1708"/>
      <c r="HO194" s="1708"/>
      <c r="HP194" s="1708"/>
      <c r="HQ194" s="1708"/>
      <c r="HR194" s="1708"/>
      <c r="HS194" s="1708"/>
      <c r="HT194" s="1708"/>
      <c r="HU194" s="1708"/>
      <c r="HV194" s="1708"/>
      <c r="HW194" s="1708"/>
      <c r="HX194" s="1708"/>
      <c r="HY194" s="1708"/>
      <c r="HZ194" s="1708"/>
      <c r="IA194" s="1708"/>
      <c r="IB194" s="1708"/>
      <c r="IC194" s="1708"/>
      <c r="ID194" s="1708"/>
      <c r="IE194" s="1708"/>
      <c r="IF194" s="1708"/>
      <c r="IG194" s="1708"/>
      <c r="IH194" s="1708"/>
      <c r="II194" s="1708"/>
      <c r="IJ194" s="1708"/>
      <c r="IK194" s="1708"/>
      <c r="IL194" s="1708"/>
      <c r="IM194" s="1708"/>
      <c r="IN194" s="1708"/>
      <c r="IO194" s="1708"/>
      <c r="IP194" s="1708"/>
      <c r="IQ194" s="1708"/>
      <c r="IR194" s="1708"/>
      <c r="IS194" s="1708"/>
      <c r="IT194" s="1708"/>
      <c r="IU194" s="1708"/>
      <c r="IV194" s="1708"/>
    </row>
    <row r="195" spans="2:256" s="57" customFormat="1" x14ac:dyDescent="0.25">
      <c r="B195" s="1836"/>
      <c r="G195" s="1849"/>
      <c r="J195" s="1850"/>
      <c r="K195" s="1850"/>
      <c r="S195" s="1708"/>
      <c r="T195" s="1708"/>
      <c r="U195" s="1708"/>
      <c r="V195" s="1708"/>
      <c r="W195" s="1708"/>
      <c r="X195" s="1708"/>
      <c r="Y195" s="1708"/>
      <c r="Z195" s="1708"/>
      <c r="AA195" s="1708"/>
      <c r="AB195" s="1708"/>
      <c r="AC195" s="1708"/>
      <c r="AD195" s="1708"/>
      <c r="AE195" s="1708"/>
      <c r="AF195" s="1708"/>
      <c r="AG195" s="1708"/>
      <c r="AH195" s="1708"/>
      <c r="AI195" s="1708"/>
      <c r="AJ195" s="1708"/>
      <c r="AK195" s="1708"/>
      <c r="AL195" s="1708"/>
      <c r="AM195" s="1708"/>
      <c r="AN195" s="1708"/>
      <c r="AO195" s="1708"/>
      <c r="AP195" s="1708"/>
      <c r="AQ195" s="1708"/>
      <c r="AR195" s="1708"/>
      <c r="AS195" s="1708"/>
      <c r="AT195" s="1708"/>
      <c r="AU195" s="1708"/>
      <c r="AV195" s="1708"/>
      <c r="AW195" s="1708"/>
      <c r="AX195" s="1708"/>
      <c r="AY195" s="1708"/>
      <c r="AZ195" s="1708"/>
      <c r="BA195" s="1708"/>
      <c r="BB195" s="1708"/>
      <c r="BC195" s="1708"/>
      <c r="BD195" s="1708"/>
      <c r="BE195" s="1708"/>
      <c r="BF195" s="1708"/>
      <c r="BG195" s="1708"/>
      <c r="BH195" s="1708"/>
      <c r="BI195" s="1708"/>
      <c r="BJ195" s="1708"/>
      <c r="BK195" s="1708"/>
      <c r="BL195" s="1708"/>
      <c r="BM195" s="1708"/>
      <c r="BN195" s="1708"/>
      <c r="BO195" s="1708"/>
      <c r="BP195" s="1708"/>
      <c r="BQ195" s="1708"/>
      <c r="BR195" s="1708"/>
      <c r="BS195" s="1708"/>
      <c r="BT195" s="1708"/>
      <c r="BU195" s="1708"/>
      <c r="BV195" s="1708"/>
      <c r="BW195" s="1708"/>
      <c r="BX195" s="1708"/>
      <c r="BY195" s="1708"/>
      <c r="BZ195" s="1708"/>
      <c r="CA195" s="1708"/>
      <c r="CB195" s="1708"/>
      <c r="CC195" s="1708"/>
      <c r="CD195" s="1708"/>
      <c r="CE195" s="1708"/>
      <c r="CF195" s="1708"/>
      <c r="CG195" s="1708"/>
      <c r="CH195" s="1708"/>
      <c r="CI195" s="1708"/>
      <c r="CJ195" s="1708"/>
      <c r="CK195" s="1708"/>
      <c r="CL195" s="1708"/>
      <c r="CM195" s="1708"/>
      <c r="CN195" s="1708"/>
      <c r="CO195" s="1708"/>
      <c r="CP195" s="1708"/>
      <c r="CQ195" s="1708"/>
      <c r="CR195" s="1708"/>
      <c r="CS195" s="1708"/>
      <c r="CT195" s="1708"/>
      <c r="CU195" s="1708"/>
      <c r="CV195" s="1708"/>
      <c r="CW195" s="1708"/>
      <c r="CX195" s="1708"/>
      <c r="CY195" s="1708"/>
      <c r="CZ195" s="1708"/>
      <c r="DA195" s="1708"/>
      <c r="DB195" s="1708"/>
      <c r="DC195" s="1708"/>
      <c r="DD195" s="1708"/>
      <c r="DE195" s="1708"/>
      <c r="DF195" s="1708"/>
      <c r="DG195" s="1708"/>
      <c r="DH195" s="1708"/>
      <c r="DI195" s="1708"/>
      <c r="DJ195" s="1708"/>
      <c r="DK195" s="1708"/>
      <c r="DL195" s="1708"/>
      <c r="DM195" s="1708"/>
      <c r="DN195" s="1708"/>
      <c r="DO195" s="1708"/>
      <c r="DP195" s="1708"/>
      <c r="DQ195" s="1708"/>
      <c r="DR195" s="1708"/>
      <c r="DS195" s="1708"/>
      <c r="DT195" s="1708"/>
      <c r="DU195" s="1708"/>
      <c r="DV195" s="1708"/>
      <c r="DW195" s="1708"/>
      <c r="DX195" s="1708"/>
      <c r="DY195" s="1708"/>
      <c r="DZ195" s="1708"/>
      <c r="EA195" s="1708"/>
      <c r="EB195" s="1708"/>
      <c r="EC195" s="1708"/>
      <c r="ED195" s="1708"/>
      <c r="EE195" s="1708"/>
      <c r="EF195" s="1708"/>
      <c r="EG195" s="1708"/>
      <c r="EH195" s="1708"/>
      <c r="EI195" s="1708"/>
      <c r="EJ195" s="1708"/>
      <c r="EK195" s="1708"/>
      <c r="EL195" s="1708"/>
      <c r="EM195" s="1708"/>
      <c r="EN195" s="1708"/>
      <c r="EO195" s="1708"/>
      <c r="EP195" s="1708"/>
      <c r="EQ195" s="1708"/>
      <c r="ER195" s="1708"/>
      <c r="ES195" s="1708"/>
      <c r="ET195" s="1708"/>
      <c r="EU195" s="1708"/>
      <c r="EV195" s="1708"/>
      <c r="EW195" s="1708"/>
      <c r="EX195" s="1708"/>
      <c r="EY195" s="1708"/>
      <c r="EZ195" s="1708"/>
      <c r="FA195" s="1708"/>
      <c r="FB195" s="1708"/>
      <c r="FC195" s="1708"/>
      <c r="FD195" s="1708"/>
      <c r="FE195" s="1708"/>
      <c r="FF195" s="1708"/>
      <c r="FG195" s="1708"/>
      <c r="FH195" s="1708"/>
      <c r="FI195" s="1708"/>
      <c r="FJ195" s="1708"/>
      <c r="FK195" s="1708"/>
      <c r="FL195" s="1708"/>
      <c r="FM195" s="1708"/>
      <c r="FN195" s="1708"/>
      <c r="FO195" s="1708"/>
      <c r="FP195" s="1708"/>
      <c r="FQ195" s="1708"/>
      <c r="FR195" s="1708"/>
      <c r="FS195" s="1708"/>
      <c r="FT195" s="1708"/>
      <c r="FU195" s="1708"/>
      <c r="FV195" s="1708"/>
      <c r="FW195" s="1708"/>
      <c r="FX195" s="1708"/>
      <c r="FY195" s="1708"/>
      <c r="FZ195" s="1708"/>
      <c r="GA195" s="1708"/>
      <c r="GB195" s="1708"/>
      <c r="GC195" s="1708"/>
      <c r="GD195" s="1708"/>
      <c r="GE195" s="1708"/>
      <c r="GF195" s="1708"/>
      <c r="GG195" s="1708"/>
      <c r="GH195" s="1708"/>
      <c r="GI195" s="1708"/>
      <c r="GJ195" s="1708"/>
      <c r="GK195" s="1708"/>
      <c r="GL195" s="1708"/>
      <c r="GM195" s="1708"/>
      <c r="GN195" s="1708"/>
      <c r="GO195" s="1708"/>
      <c r="GP195" s="1708"/>
      <c r="GQ195" s="1708"/>
      <c r="GR195" s="1708"/>
      <c r="GS195" s="1708"/>
      <c r="GT195" s="1708"/>
      <c r="GU195" s="1708"/>
      <c r="GV195" s="1708"/>
      <c r="GW195" s="1708"/>
      <c r="GX195" s="1708"/>
      <c r="GY195" s="1708"/>
      <c r="GZ195" s="1708"/>
      <c r="HA195" s="1708"/>
      <c r="HB195" s="1708"/>
      <c r="HC195" s="1708"/>
      <c r="HD195" s="1708"/>
      <c r="HE195" s="1708"/>
      <c r="HF195" s="1708"/>
      <c r="HG195" s="1708"/>
      <c r="HH195" s="1708"/>
      <c r="HI195" s="1708"/>
      <c r="HJ195" s="1708"/>
      <c r="HK195" s="1708"/>
      <c r="HL195" s="1708"/>
      <c r="HM195" s="1708"/>
      <c r="HN195" s="1708"/>
      <c r="HO195" s="1708"/>
      <c r="HP195" s="1708"/>
      <c r="HQ195" s="1708"/>
      <c r="HR195" s="1708"/>
      <c r="HS195" s="1708"/>
      <c r="HT195" s="1708"/>
      <c r="HU195" s="1708"/>
      <c r="HV195" s="1708"/>
      <c r="HW195" s="1708"/>
      <c r="HX195" s="1708"/>
      <c r="HY195" s="1708"/>
      <c r="HZ195" s="1708"/>
      <c r="IA195" s="1708"/>
      <c r="IB195" s="1708"/>
      <c r="IC195" s="1708"/>
      <c r="ID195" s="1708"/>
      <c r="IE195" s="1708"/>
      <c r="IF195" s="1708"/>
      <c r="IG195" s="1708"/>
      <c r="IH195" s="1708"/>
      <c r="II195" s="1708"/>
      <c r="IJ195" s="1708"/>
      <c r="IK195" s="1708"/>
      <c r="IL195" s="1708"/>
      <c r="IM195" s="1708"/>
      <c r="IN195" s="1708"/>
      <c r="IO195" s="1708"/>
      <c r="IP195" s="1708"/>
      <c r="IQ195" s="1708"/>
      <c r="IR195" s="1708"/>
      <c r="IS195" s="1708"/>
      <c r="IT195" s="1708"/>
      <c r="IU195" s="1708"/>
      <c r="IV195" s="1708"/>
    </row>
    <row r="196" spans="2:256" s="57" customFormat="1" x14ac:dyDescent="0.25">
      <c r="B196" s="1836"/>
      <c r="G196" s="1849"/>
      <c r="J196" s="1850"/>
      <c r="K196" s="1850"/>
      <c r="S196" s="1708"/>
      <c r="T196" s="1708"/>
      <c r="U196" s="1708"/>
      <c r="V196" s="1708"/>
      <c r="W196" s="1708"/>
      <c r="X196" s="1708"/>
      <c r="Y196" s="1708"/>
      <c r="Z196" s="1708"/>
      <c r="AA196" s="1708"/>
      <c r="AB196" s="1708"/>
      <c r="AC196" s="1708"/>
      <c r="AD196" s="1708"/>
      <c r="AE196" s="1708"/>
      <c r="AF196" s="1708"/>
      <c r="AG196" s="1708"/>
      <c r="AH196" s="1708"/>
      <c r="AI196" s="1708"/>
      <c r="AJ196" s="1708"/>
      <c r="AK196" s="1708"/>
      <c r="AL196" s="1708"/>
      <c r="AM196" s="1708"/>
      <c r="AN196" s="1708"/>
      <c r="AO196" s="1708"/>
      <c r="AP196" s="1708"/>
      <c r="AQ196" s="1708"/>
      <c r="AR196" s="1708"/>
      <c r="AS196" s="1708"/>
      <c r="AT196" s="1708"/>
      <c r="AU196" s="1708"/>
      <c r="AV196" s="1708"/>
      <c r="AW196" s="1708"/>
      <c r="AX196" s="1708"/>
      <c r="AY196" s="1708"/>
      <c r="AZ196" s="1708"/>
      <c r="BA196" s="1708"/>
      <c r="BB196" s="1708"/>
      <c r="BC196" s="1708"/>
      <c r="BD196" s="1708"/>
      <c r="BE196" s="1708"/>
      <c r="BF196" s="1708"/>
      <c r="BG196" s="1708"/>
      <c r="BH196" s="1708"/>
      <c r="BI196" s="1708"/>
      <c r="BJ196" s="1708"/>
      <c r="BK196" s="1708"/>
      <c r="BL196" s="1708"/>
      <c r="BM196" s="1708"/>
      <c r="BN196" s="1708"/>
      <c r="BO196" s="1708"/>
      <c r="BP196" s="1708"/>
      <c r="BQ196" s="1708"/>
      <c r="BR196" s="1708"/>
      <c r="BS196" s="1708"/>
      <c r="BT196" s="1708"/>
      <c r="BU196" s="1708"/>
      <c r="BV196" s="1708"/>
      <c r="BW196" s="1708"/>
      <c r="BX196" s="1708"/>
      <c r="BY196" s="1708"/>
      <c r="BZ196" s="1708"/>
      <c r="CA196" s="1708"/>
      <c r="CB196" s="1708"/>
      <c r="CC196" s="1708"/>
      <c r="CD196" s="1708"/>
      <c r="CE196" s="1708"/>
      <c r="CF196" s="1708"/>
      <c r="CG196" s="1708"/>
      <c r="CH196" s="1708"/>
      <c r="CI196" s="1708"/>
      <c r="CJ196" s="1708"/>
      <c r="CK196" s="1708"/>
      <c r="CL196" s="1708"/>
      <c r="CM196" s="1708"/>
      <c r="CN196" s="1708"/>
      <c r="CO196" s="1708"/>
      <c r="CP196" s="1708"/>
      <c r="CQ196" s="1708"/>
      <c r="CR196" s="1708"/>
      <c r="CS196" s="1708"/>
      <c r="CT196" s="1708"/>
      <c r="CU196" s="1708"/>
      <c r="CV196" s="1708"/>
      <c r="CW196" s="1708"/>
      <c r="CX196" s="1708"/>
      <c r="CY196" s="1708"/>
      <c r="CZ196" s="1708"/>
      <c r="DA196" s="1708"/>
      <c r="DB196" s="1708"/>
      <c r="DC196" s="1708"/>
      <c r="DD196" s="1708"/>
      <c r="DE196" s="1708"/>
      <c r="DF196" s="1708"/>
      <c r="DG196" s="1708"/>
      <c r="DH196" s="1708"/>
      <c r="DI196" s="1708"/>
      <c r="DJ196" s="1708"/>
      <c r="DK196" s="1708"/>
      <c r="DL196" s="1708"/>
      <c r="DM196" s="1708"/>
      <c r="DN196" s="1708"/>
      <c r="DO196" s="1708"/>
      <c r="DP196" s="1708"/>
      <c r="DQ196" s="1708"/>
      <c r="DR196" s="1708"/>
      <c r="DS196" s="1708"/>
      <c r="DT196" s="1708"/>
      <c r="DU196" s="1708"/>
      <c r="DV196" s="1708"/>
      <c r="DW196" s="1708"/>
      <c r="DX196" s="1708"/>
      <c r="DY196" s="1708"/>
      <c r="DZ196" s="1708"/>
      <c r="EA196" s="1708"/>
      <c r="EB196" s="1708"/>
      <c r="EC196" s="1708"/>
      <c r="ED196" s="1708"/>
      <c r="EE196" s="1708"/>
      <c r="EF196" s="1708"/>
      <c r="EG196" s="1708"/>
      <c r="EH196" s="1708"/>
      <c r="EI196" s="1708"/>
      <c r="EJ196" s="1708"/>
      <c r="EK196" s="1708"/>
      <c r="EL196" s="1708"/>
      <c r="EM196" s="1708"/>
      <c r="EN196" s="1708"/>
      <c r="EO196" s="1708"/>
      <c r="EP196" s="1708"/>
      <c r="EQ196" s="1708"/>
      <c r="ER196" s="1708"/>
      <c r="ES196" s="1708"/>
      <c r="ET196" s="1708"/>
      <c r="EU196" s="1708"/>
      <c r="EV196" s="1708"/>
      <c r="EW196" s="1708"/>
      <c r="EX196" s="1708"/>
      <c r="EY196" s="1708"/>
      <c r="EZ196" s="1708"/>
      <c r="FA196" s="1708"/>
      <c r="FB196" s="1708"/>
      <c r="FC196" s="1708"/>
      <c r="FD196" s="1708"/>
      <c r="FE196" s="1708"/>
      <c r="FF196" s="1708"/>
      <c r="FG196" s="1708"/>
      <c r="FH196" s="1708"/>
      <c r="FI196" s="1708"/>
      <c r="FJ196" s="1708"/>
      <c r="FK196" s="1708"/>
      <c r="FL196" s="1708"/>
      <c r="FM196" s="1708"/>
      <c r="FN196" s="1708"/>
      <c r="FO196" s="1708"/>
      <c r="FP196" s="1708"/>
      <c r="FQ196" s="1708"/>
      <c r="FR196" s="1708"/>
      <c r="FS196" s="1708"/>
      <c r="FT196" s="1708"/>
      <c r="FU196" s="1708"/>
      <c r="FV196" s="1708"/>
      <c r="FW196" s="1708"/>
      <c r="FX196" s="1708"/>
      <c r="FY196" s="1708"/>
      <c r="FZ196" s="1708"/>
      <c r="GA196" s="1708"/>
      <c r="GB196" s="1708"/>
      <c r="GC196" s="1708"/>
      <c r="GD196" s="1708"/>
      <c r="GE196" s="1708"/>
      <c r="GF196" s="1708"/>
      <c r="GG196" s="1708"/>
      <c r="GH196" s="1708"/>
      <c r="GI196" s="1708"/>
      <c r="GJ196" s="1708"/>
      <c r="GK196" s="1708"/>
      <c r="GL196" s="1708"/>
      <c r="GM196" s="1708"/>
      <c r="GN196" s="1708"/>
      <c r="GO196" s="1708"/>
      <c r="GP196" s="1708"/>
      <c r="GQ196" s="1708"/>
      <c r="GR196" s="1708"/>
      <c r="GS196" s="1708"/>
      <c r="GT196" s="1708"/>
      <c r="GU196" s="1708"/>
      <c r="GV196" s="1708"/>
      <c r="GW196" s="1708"/>
      <c r="GX196" s="1708"/>
      <c r="GY196" s="1708"/>
      <c r="GZ196" s="1708"/>
      <c r="HA196" s="1708"/>
      <c r="HB196" s="1708"/>
      <c r="HC196" s="1708"/>
      <c r="HD196" s="1708"/>
      <c r="HE196" s="1708"/>
      <c r="HF196" s="1708"/>
      <c r="HG196" s="1708"/>
      <c r="HH196" s="1708"/>
      <c r="HI196" s="1708"/>
      <c r="HJ196" s="1708"/>
      <c r="HK196" s="1708"/>
      <c r="HL196" s="1708"/>
      <c r="HM196" s="1708"/>
      <c r="HN196" s="1708"/>
      <c r="HO196" s="1708"/>
      <c r="HP196" s="1708"/>
      <c r="HQ196" s="1708"/>
      <c r="HR196" s="1708"/>
      <c r="HS196" s="1708"/>
      <c r="HT196" s="1708"/>
      <c r="HU196" s="1708"/>
      <c r="HV196" s="1708"/>
      <c r="HW196" s="1708"/>
      <c r="HX196" s="1708"/>
      <c r="HY196" s="1708"/>
      <c r="HZ196" s="1708"/>
      <c r="IA196" s="1708"/>
      <c r="IB196" s="1708"/>
      <c r="IC196" s="1708"/>
      <c r="ID196" s="1708"/>
      <c r="IE196" s="1708"/>
      <c r="IF196" s="1708"/>
      <c r="IG196" s="1708"/>
      <c r="IH196" s="1708"/>
      <c r="II196" s="1708"/>
      <c r="IJ196" s="1708"/>
      <c r="IK196" s="1708"/>
      <c r="IL196" s="1708"/>
      <c r="IM196" s="1708"/>
      <c r="IN196" s="1708"/>
      <c r="IO196" s="1708"/>
      <c r="IP196" s="1708"/>
      <c r="IQ196" s="1708"/>
      <c r="IR196" s="1708"/>
      <c r="IS196" s="1708"/>
      <c r="IT196" s="1708"/>
      <c r="IU196" s="1708"/>
      <c r="IV196" s="1708"/>
    </row>
    <row r="197" spans="2:256" s="57" customFormat="1" x14ac:dyDescent="0.25">
      <c r="B197" s="1836"/>
      <c r="G197" s="1849"/>
      <c r="J197" s="1850"/>
      <c r="K197" s="1850"/>
      <c r="S197" s="1708"/>
      <c r="T197" s="1708"/>
      <c r="U197" s="1708"/>
      <c r="V197" s="1708"/>
      <c r="W197" s="1708"/>
      <c r="X197" s="1708"/>
      <c r="Y197" s="1708"/>
      <c r="Z197" s="1708"/>
      <c r="AA197" s="1708"/>
      <c r="AB197" s="1708"/>
      <c r="AC197" s="1708"/>
      <c r="AD197" s="1708"/>
      <c r="AE197" s="1708"/>
      <c r="AF197" s="1708"/>
      <c r="AG197" s="1708"/>
      <c r="AH197" s="1708"/>
      <c r="AI197" s="1708"/>
      <c r="AJ197" s="1708"/>
      <c r="AK197" s="1708"/>
      <c r="AL197" s="1708"/>
      <c r="AM197" s="1708"/>
      <c r="AN197" s="1708"/>
      <c r="AO197" s="1708"/>
      <c r="AP197" s="1708"/>
      <c r="AQ197" s="1708"/>
      <c r="AR197" s="1708"/>
      <c r="AS197" s="1708"/>
      <c r="AT197" s="1708"/>
      <c r="AU197" s="1708"/>
      <c r="AV197" s="1708"/>
      <c r="AW197" s="1708"/>
      <c r="AX197" s="1708"/>
      <c r="AY197" s="1708"/>
      <c r="AZ197" s="1708"/>
      <c r="BA197" s="1708"/>
      <c r="BB197" s="1708"/>
      <c r="BC197" s="1708"/>
      <c r="BD197" s="1708"/>
      <c r="BE197" s="1708"/>
      <c r="BF197" s="1708"/>
      <c r="BG197" s="1708"/>
      <c r="BH197" s="1708"/>
      <c r="BI197" s="1708"/>
      <c r="BJ197" s="1708"/>
      <c r="BK197" s="1708"/>
      <c r="BL197" s="1708"/>
      <c r="BM197" s="1708"/>
      <c r="BN197" s="1708"/>
      <c r="BO197" s="1708"/>
      <c r="BP197" s="1708"/>
      <c r="BQ197" s="1708"/>
      <c r="BR197" s="1708"/>
      <c r="BS197" s="1708"/>
      <c r="BT197" s="1708"/>
      <c r="BU197" s="1708"/>
      <c r="BV197" s="1708"/>
      <c r="BW197" s="1708"/>
      <c r="BX197" s="1708"/>
      <c r="BY197" s="1708"/>
      <c r="BZ197" s="1708"/>
      <c r="CA197" s="1708"/>
      <c r="CB197" s="1708"/>
      <c r="CC197" s="1708"/>
      <c r="CD197" s="1708"/>
      <c r="CE197" s="1708"/>
      <c r="CF197" s="1708"/>
      <c r="CG197" s="1708"/>
      <c r="CH197" s="1708"/>
      <c r="CI197" s="1708"/>
      <c r="CJ197" s="1708"/>
      <c r="CK197" s="1708"/>
      <c r="CL197" s="1708"/>
      <c r="CM197" s="1708"/>
      <c r="CN197" s="1708"/>
      <c r="CO197" s="1708"/>
      <c r="CP197" s="1708"/>
      <c r="CQ197" s="1708"/>
      <c r="CR197" s="1708"/>
      <c r="CS197" s="1708"/>
      <c r="CT197" s="1708"/>
      <c r="CU197" s="1708"/>
      <c r="CV197" s="1708"/>
      <c r="CW197" s="1708"/>
      <c r="CX197" s="1708"/>
      <c r="CY197" s="1708"/>
      <c r="CZ197" s="1708"/>
      <c r="DA197" s="1708"/>
      <c r="DB197" s="1708"/>
      <c r="DC197" s="1708"/>
      <c r="DD197" s="1708"/>
      <c r="DE197" s="1708"/>
      <c r="DF197" s="1708"/>
      <c r="DG197" s="1708"/>
      <c r="DH197" s="1708"/>
      <c r="DI197" s="1708"/>
      <c r="DJ197" s="1708"/>
      <c r="DK197" s="1708"/>
      <c r="DL197" s="1708"/>
      <c r="DM197" s="1708"/>
      <c r="DN197" s="1708"/>
      <c r="DO197" s="1708"/>
      <c r="DP197" s="1708"/>
      <c r="DQ197" s="1708"/>
      <c r="DR197" s="1708"/>
      <c r="DS197" s="1708"/>
      <c r="DT197" s="1708"/>
      <c r="DU197" s="1708"/>
      <c r="DV197" s="1708"/>
      <c r="DW197" s="1708"/>
      <c r="DX197" s="1708"/>
      <c r="DY197" s="1708"/>
      <c r="DZ197" s="1708"/>
      <c r="EA197" s="1708"/>
      <c r="EB197" s="1708"/>
      <c r="EC197" s="1708"/>
      <c r="ED197" s="1708"/>
      <c r="EE197" s="1708"/>
      <c r="EF197" s="1708"/>
      <c r="EG197" s="1708"/>
      <c r="EH197" s="1708"/>
      <c r="EI197" s="1708"/>
      <c r="EJ197" s="1708"/>
      <c r="EK197" s="1708"/>
      <c r="EL197" s="1708"/>
      <c r="EM197" s="1708"/>
      <c r="EN197" s="1708"/>
      <c r="EO197" s="1708"/>
      <c r="EP197" s="1708"/>
      <c r="EQ197" s="1708"/>
      <c r="ER197" s="1708"/>
      <c r="ES197" s="1708"/>
      <c r="ET197" s="1708"/>
      <c r="EU197" s="1708"/>
      <c r="EV197" s="1708"/>
      <c r="EW197" s="1708"/>
      <c r="EX197" s="1708"/>
      <c r="EY197" s="1708"/>
      <c r="EZ197" s="1708"/>
      <c r="FA197" s="1708"/>
      <c r="FB197" s="1708"/>
      <c r="FC197" s="1708"/>
      <c r="FD197" s="1708"/>
      <c r="FE197" s="1708"/>
      <c r="FF197" s="1708"/>
      <c r="FG197" s="1708"/>
      <c r="FH197" s="1708"/>
      <c r="FI197" s="1708"/>
      <c r="FJ197" s="1708"/>
      <c r="FK197" s="1708"/>
      <c r="FL197" s="1708"/>
      <c r="FM197" s="1708"/>
      <c r="FN197" s="1708"/>
      <c r="FO197" s="1708"/>
      <c r="FP197" s="1708"/>
      <c r="FQ197" s="1708"/>
      <c r="FR197" s="1708"/>
      <c r="FS197" s="1708"/>
      <c r="FT197" s="1708"/>
      <c r="FU197" s="1708"/>
      <c r="FV197" s="1708"/>
      <c r="FW197" s="1708"/>
      <c r="FX197" s="1708"/>
      <c r="FY197" s="1708"/>
      <c r="FZ197" s="1708"/>
      <c r="GA197" s="1708"/>
      <c r="GB197" s="1708"/>
      <c r="GC197" s="1708"/>
      <c r="GD197" s="1708"/>
      <c r="GE197" s="1708"/>
      <c r="GF197" s="1708"/>
      <c r="GG197" s="1708"/>
      <c r="GH197" s="1708"/>
      <c r="GI197" s="1708"/>
      <c r="GJ197" s="1708"/>
      <c r="GK197" s="1708"/>
      <c r="GL197" s="1708"/>
      <c r="GM197" s="1708"/>
      <c r="GN197" s="1708"/>
      <c r="GO197" s="1708"/>
      <c r="GP197" s="1708"/>
      <c r="GQ197" s="1708"/>
      <c r="GR197" s="1708"/>
      <c r="GS197" s="1708"/>
      <c r="GT197" s="1708"/>
      <c r="GU197" s="1708"/>
      <c r="GV197" s="1708"/>
      <c r="GW197" s="1708"/>
      <c r="GX197" s="1708"/>
      <c r="GY197" s="1708"/>
      <c r="GZ197" s="1708"/>
      <c r="HA197" s="1708"/>
      <c r="HB197" s="1708"/>
      <c r="HC197" s="1708"/>
      <c r="HD197" s="1708"/>
      <c r="HE197" s="1708"/>
      <c r="HF197" s="1708"/>
      <c r="HG197" s="1708"/>
      <c r="HH197" s="1708"/>
      <c r="HI197" s="1708"/>
      <c r="HJ197" s="1708"/>
      <c r="HK197" s="1708"/>
      <c r="HL197" s="1708"/>
      <c r="HM197" s="1708"/>
      <c r="HN197" s="1708"/>
      <c r="HO197" s="1708"/>
      <c r="HP197" s="1708"/>
      <c r="HQ197" s="1708"/>
      <c r="HR197" s="1708"/>
      <c r="HS197" s="1708"/>
      <c r="HT197" s="1708"/>
      <c r="HU197" s="1708"/>
      <c r="HV197" s="1708"/>
      <c r="HW197" s="1708"/>
      <c r="HX197" s="1708"/>
      <c r="HY197" s="1708"/>
      <c r="HZ197" s="1708"/>
      <c r="IA197" s="1708"/>
      <c r="IB197" s="1708"/>
      <c r="IC197" s="1708"/>
      <c r="ID197" s="1708"/>
      <c r="IE197" s="1708"/>
      <c r="IF197" s="1708"/>
      <c r="IG197" s="1708"/>
      <c r="IH197" s="1708"/>
      <c r="II197" s="1708"/>
      <c r="IJ197" s="1708"/>
      <c r="IK197" s="1708"/>
      <c r="IL197" s="1708"/>
      <c r="IM197" s="1708"/>
      <c r="IN197" s="1708"/>
      <c r="IO197" s="1708"/>
      <c r="IP197" s="1708"/>
      <c r="IQ197" s="1708"/>
      <c r="IR197" s="1708"/>
      <c r="IS197" s="1708"/>
      <c r="IT197" s="1708"/>
      <c r="IU197" s="1708"/>
      <c r="IV197" s="1708"/>
    </row>
    <row r="198" spans="2:256" s="57" customFormat="1" x14ac:dyDescent="0.25">
      <c r="B198" s="1836"/>
      <c r="G198" s="1849"/>
      <c r="J198" s="1850"/>
      <c r="K198" s="1850"/>
      <c r="S198" s="1708"/>
      <c r="T198" s="1708"/>
      <c r="U198" s="1708"/>
      <c r="V198" s="1708"/>
      <c r="W198" s="1708"/>
      <c r="X198" s="1708"/>
      <c r="Y198" s="1708"/>
      <c r="Z198" s="1708"/>
      <c r="AA198" s="1708"/>
      <c r="AB198" s="1708"/>
      <c r="AC198" s="1708"/>
      <c r="AD198" s="1708"/>
      <c r="AE198" s="1708"/>
      <c r="AF198" s="1708"/>
      <c r="AG198" s="1708"/>
      <c r="AH198" s="1708"/>
      <c r="AI198" s="1708"/>
      <c r="AJ198" s="1708"/>
      <c r="AK198" s="1708"/>
      <c r="AL198" s="1708"/>
      <c r="AM198" s="1708"/>
      <c r="AN198" s="1708"/>
      <c r="AO198" s="1708"/>
      <c r="AP198" s="1708"/>
      <c r="AQ198" s="1708"/>
      <c r="AR198" s="1708"/>
      <c r="AS198" s="1708"/>
      <c r="AT198" s="1708"/>
      <c r="AU198" s="1708"/>
      <c r="AV198" s="1708"/>
      <c r="AW198" s="1708"/>
      <c r="AX198" s="1708"/>
      <c r="AY198" s="1708"/>
      <c r="AZ198" s="1708"/>
      <c r="BA198" s="1708"/>
      <c r="BB198" s="1708"/>
      <c r="BC198" s="1708"/>
      <c r="BD198" s="1708"/>
      <c r="BE198" s="1708"/>
      <c r="BF198" s="1708"/>
      <c r="BG198" s="1708"/>
      <c r="BH198" s="1708"/>
      <c r="BI198" s="1708"/>
      <c r="BJ198" s="1708"/>
      <c r="BK198" s="1708"/>
      <c r="BL198" s="1708"/>
      <c r="BM198" s="1708"/>
      <c r="BN198" s="1708"/>
      <c r="BO198" s="1708"/>
      <c r="BP198" s="1708"/>
      <c r="BQ198" s="1708"/>
      <c r="BR198" s="1708"/>
      <c r="BS198" s="1708"/>
      <c r="BT198" s="1708"/>
      <c r="BU198" s="1708"/>
      <c r="BV198" s="1708"/>
      <c r="BW198" s="1708"/>
      <c r="BX198" s="1708"/>
      <c r="BY198" s="1708"/>
      <c r="BZ198" s="1708"/>
      <c r="CA198" s="1708"/>
      <c r="CB198" s="1708"/>
      <c r="CC198" s="1708"/>
      <c r="CD198" s="1708"/>
      <c r="CE198" s="1708"/>
      <c r="CF198" s="1708"/>
      <c r="CG198" s="1708"/>
      <c r="CH198" s="1708"/>
      <c r="CI198" s="1708"/>
      <c r="CJ198" s="1708"/>
      <c r="CK198" s="1708"/>
      <c r="CL198" s="1708"/>
      <c r="CM198" s="1708"/>
      <c r="CN198" s="1708"/>
      <c r="CO198" s="1708"/>
      <c r="CP198" s="1708"/>
      <c r="CQ198" s="1708"/>
      <c r="CR198" s="1708"/>
      <c r="CS198" s="1708"/>
      <c r="CT198" s="1708"/>
      <c r="CU198" s="1708"/>
      <c r="CV198" s="1708"/>
      <c r="CW198" s="1708"/>
      <c r="CX198" s="1708"/>
      <c r="CY198" s="1708"/>
      <c r="CZ198" s="1708"/>
      <c r="DA198" s="1708"/>
      <c r="DB198" s="1708"/>
      <c r="DC198" s="1708"/>
      <c r="DD198" s="1708"/>
      <c r="DE198" s="1708"/>
      <c r="DF198" s="1708"/>
      <c r="DG198" s="1708"/>
      <c r="DH198" s="1708"/>
      <c r="DI198" s="1708"/>
      <c r="DJ198" s="1708"/>
      <c r="DK198" s="1708"/>
      <c r="DL198" s="1708"/>
      <c r="DM198" s="1708"/>
      <c r="DN198" s="1708"/>
      <c r="DO198" s="1708"/>
      <c r="DP198" s="1708"/>
      <c r="DQ198" s="1708"/>
      <c r="DR198" s="1708"/>
      <c r="DS198" s="1708"/>
      <c r="DT198" s="1708"/>
      <c r="DU198" s="1708"/>
      <c r="DV198" s="1708"/>
      <c r="DW198" s="1708"/>
      <c r="DX198" s="1708"/>
      <c r="DY198" s="1708"/>
      <c r="DZ198" s="1708"/>
      <c r="EA198" s="1708"/>
      <c r="EB198" s="1708"/>
      <c r="EC198" s="1708"/>
      <c r="ED198" s="1708"/>
      <c r="EE198" s="1708"/>
      <c r="EF198" s="1708"/>
      <c r="EG198" s="1708"/>
      <c r="EH198" s="1708"/>
      <c r="EI198" s="1708"/>
      <c r="EJ198" s="1708"/>
      <c r="EK198" s="1708"/>
      <c r="EL198" s="1708"/>
      <c r="EM198" s="1708"/>
      <c r="EN198" s="1708"/>
      <c r="EO198" s="1708"/>
      <c r="EP198" s="1708"/>
      <c r="EQ198" s="1708"/>
      <c r="ER198" s="1708"/>
      <c r="ES198" s="1708"/>
      <c r="ET198" s="1708"/>
      <c r="EU198" s="1708"/>
      <c r="EV198" s="1708"/>
      <c r="EW198" s="1708"/>
      <c r="EX198" s="1708"/>
      <c r="EY198" s="1708"/>
      <c r="EZ198" s="1708"/>
      <c r="FA198" s="1708"/>
      <c r="FB198" s="1708"/>
      <c r="FC198" s="1708"/>
      <c r="FD198" s="1708"/>
      <c r="FE198" s="1708"/>
      <c r="FF198" s="1708"/>
      <c r="FG198" s="1708"/>
      <c r="FH198" s="1708"/>
      <c r="FI198" s="1708"/>
      <c r="FJ198" s="1708"/>
      <c r="FK198" s="1708"/>
      <c r="FL198" s="1708"/>
      <c r="FM198" s="1708"/>
      <c r="FN198" s="1708"/>
      <c r="FO198" s="1708"/>
      <c r="FP198" s="1708"/>
      <c r="FQ198" s="1708"/>
      <c r="FR198" s="1708"/>
      <c r="FS198" s="1708"/>
      <c r="FT198" s="1708"/>
      <c r="FU198" s="1708"/>
      <c r="FV198" s="1708"/>
      <c r="FW198" s="1708"/>
      <c r="FX198" s="1708"/>
      <c r="FY198" s="1708"/>
      <c r="FZ198" s="1708"/>
      <c r="GA198" s="1708"/>
      <c r="GB198" s="1708"/>
      <c r="GC198" s="1708"/>
      <c r="GD198" s="1708"/>
      <c r="GE198" s="1708"/>
      <c r="GF198" s="1708"/>
      <c r="GG198" s="1708"/>
      <c r="GH198" s="1708"/>
      <c r="GI198" s="1708"/>
      <c r="GJ198" s="1708"/>
      <c r="GK198" s="1708"/>
      <c r="GL198" s="1708"/>
      <c r="GM198" s="1708"/>
      <c r="GN198" s="1708"/>
      <c r="GO198" s="1708"/>
      <c r="GP198" s="1708"/>
      <c r="GQ198" s="1708"/>
      <c r="GR198" s="1708"/>
      <c r="GS198" s="1708"/>
      <c r="GT198" s="1708"/>
      <c r="GU198" s="1708"/>
      <c r="GV198" s="1708"/>
      <c r="GW198" s="1708"/>
      <c r="GX198" s="1708"/>
      <c r="GY198" s="1708"/>
      <c r="GZ198" s="1708"/>
      <c r="HA198" s="1708"/>
      <c r="HB198" s="1708"/>
      <c r="HC198" s="1708"/>
      <c r="HD198" s="1708"/>
      <c r="HE198" s="1708"/>
      <c r="HF198" s="1708"/>
      <c r="HG198" s="1708"/>
      <c r="HH198" s="1708"/>
      <c r="HI198" s="1708"/>
      <c r="HJ198" s="1708"/>
      <c r="HK198" s="1708"/>
      <c r="HL198" s="1708"/>
      <c r="HM198" s="1708"/>
      <c r="HN198" s="1708"/>
      <c r="HO198" s="1708"/>
      <c r="HP198" s="1708"/>
      <c r="HQ198" s="1708"/>
      <c r="HR198" s="1708"/>
      <c r="HS198" s="1708"/>
      <c r="HT198" s="1708"/>
      <c r="HU198" s="1708"/>
      <c r="HV198" s="1708"/>
      <c r="HW198" s="1708"/>
      <c r="HX198" s="1708"/>
      <c r="HY198" s="1708"/>
      <c r="HZ198" s="1708"/>
      <c r="IA198" s="1708"/>
      <c r="IB198" s="1708"/>
      <c r="IC198" s="1708"/>
      <c r="ID198" s="1708"/>
      <c r="IE198" s="1708"/>
      <c r="IF198" s="1708"/>
      <c r="IG198" s="1708"/>
      <c r="IH198" s="1708"/>
      <c r="II198" s="1708"/>
      <c r="IJ198" s="1708"/>
      <c r="IK198" s="1708"/>
      <c r="IL198" s="1708"/>
      <c r="IM198" s="1708"/>
      <c r="IN198" s="1708"/>
      <c r="IO198" s="1708"/>
      <c r="IP198" s="1708"/>
      <c r="IQ198" s="1708"/>
      <c r="IR198" s="1708"/>
      <c r="IS198" s="1708"/>
      <c r="IT198" s="1708"/>
      <c r="IU198" s="1708"/>
      <c r="IV198" s="1708"/>
    </row>
    <row r="199" spans="2:256" s="57" customFormat="1" x14ac:dyDescent="0.25">
      <c r="B199" s="1836"/>
      <c r="G199" s="1849"/>
      <c r="J199" s="1850"/>
      <c r="K199" s="1850"/>
      <c r="S199" s="1708"/>
      <c r="T199" s="1708"/>
      <c r="U199" s="1708"/>
      <c r="V199" s="1708"/>
      <c r="W199" s="1708"/>
      <c r="X199" s="1708"/>
      <c r="Y199" s="1708"/>
      <c r="Z199" s="1708"/>
      <c r="AA199" s="1708"/>
      <c r="AB199" s="1708"/>
      <c r="AC199" s="1708"/>
      <c r="AD199" s="1708"/>
      <c r="AE199" s="1708"/>
      <c r="AF199" s="1708"/>
      <c r="AG199" s="1708"/>
      <c r="AH199" s="1708"/>
      <c r="AI199" s="1708"/>
      <c r="AJ199" s="1708"/>
      <c r="AK199" s="1708"/>
      <c r="AL199" s="1708"/>
      <c r="AM199" s="1708"/>
      <c r="AN199" s="1708"/>
      <c r="AO199" s="1708"/>
      <c r="AP199" s="1708"/>
      <c r="AQ199" s="1708"/>
      <c r="AR199" s="1708"/>
      <c r="AS199" s="1708"/>
      <c r="AT199" s="1708"/>
      <c r="AU199" s="1708"/>
      <c r="AV199" s="1708"/>
      <c r="AW199" s="1708"/>
      <c r="AX199" s="1708"/>
      <c r="AY199" s="1708"/>
      <c r="AZ199" s="1708"/>
      <c r="BA199" s="1708"/>
      <c r="BB199" s="1708"/>
      <c r="BC199" s="1708"/>
      <c r="BD199" s="1708"/>
      <c r="BE199" s="1708"/>
      <c r="BF199" s="1708"/>
      <c r="BG199" s="1708"/>
      <c r="BH199" s="1708"/>
      <c r="BI199" s="1708"/>
      <c r="BJ199" s="1708"/>
      <c r="BK199" s="1708"/>
      <c r="BL199" s="1708"/>
      <c r="BM199" s="1708"/>
      <c r="BN199" s="1708"/>
      <c r="BO199" s="1708"/>
      <c r="BP199" s="1708"/>
      <c r="BQ199" s="1708"/>
      <c r="BR199" s="1708"/>
      <c r="BS199" s="1708"/>
      <c r="BT199" s="1708"/>
      <c r="BU199" s="1708"/>
      <c r="BV199" s="1708"/>
      <c r="BW199" s="1708"/>
      <c r="BX199" s="1708"/>
      <c r="BY199" s="1708"/>
      <c r="BZ199" s="1708"/>
      <c r="CA199" s="1708"/>
      <c r="CB199" s="1708"/>
      <c r="CC199" s="1708"/>
      <c r="CD199" s="1708"/>
      <c r="CE199" s="1708"/>
      <c r="CF199" s="1708"/>
      <c r="CG199" s="1708"/>
      <c r="CH199" s="1708"/>
      <c r="CI199" s="1708"/>
      <c r="CJ199" s="1708"/>
      <c r="CK199" s="1708"/>
      <c r="CL199" s="1708"/>
      <c r="CM199" s="1708"/>
      <c r="CN199" s="1708"/>
      <c r="CO199" s="1708"/>
      <c r="CP199" s="1708"/>
      <c r="CQ199" s="1708"/>
      <c r="CR199" s="1708"/>
      <c r="CS199" s="1708"/>
      <c r="CT199" s="1708"/>
      <c r="CU199" s="1708"/>
      <c r="CV199" s="1708"/>
      <c r="CW199" s="1708"/>
      <c r="CX199" s="1708"/>
      <c r="CY199" s="1708"/>
      <c r="CZ199" s="1708"/>
      <c r="DA199" s="1708"/>
      <c r="DB199" s="1708"/>
      <c r="DC199" s="1708"/>
      <c r="DD199" s="1708"/>
      <c r="DE199" s="1708"/>
      <c r="DF199" s="1708"/>
      <c r="DG199" s="1708"/>
      <c r="DH199" s="1708"/>
      <c r="DI199" s="1708"/>
      <c r="DJ199" s="1708"/>
      <c r="DK199" s="1708"/>
      <c r="DL199" s="1708"/>
      <c r="DM199" s="1708"/>
      <c r="DN199" s="1708"/>
      <c r="DO199" s="1708"/>
      <c r="DP199" s="1708"/>
      <c r="DQ199" s="1708"/>
      <c r="DR199" s="1708"/>
      <c r="DS199" s="1708"/>
      <c r="DT199" s="1708"/>
      <c r="DU199" s="1708"/>
      <c r="DV199" s="1708"/>
      <c r="DW199" s="1708"/>
      <c r="DX199" s="1708"/>
      <c r="DY199" s="1708"/>
      <c r="DZ199" s="1708"/>
      <c r="EA199" s="1708"/>
      <c r="EB199" s="1708"/>
      <c r="EC199" s="1708"/>
      <c r="ED199" s="1708"/>
      <c r="EE199" s="1708"/>
      <c r="EF199" s="1708"/>
      <c r="EG199" s="1708"/>
      <c r="EH199" s="1708"/>
      <c r="EI199" s="1708"/>
      <c r="EJ199" s="1708"/>
      <c r="EK199" s="1708"/>
      <c r="EL199" s="1708"/>
      <c r="EM199" s="1708"/>
      <c r="EN199" s="1708"/>
      <c r="EO199" s="1708"/>
      <c r="EP199" s="1708"/>
      <c r="EQ199" s="1708"/>
      <c r="ER199" s="1708"/>
      <c r="ES199" s="1708"/>
      <c r="ET199" s="1708"/>
      <c r="EU199" s="1708"/>
      <c r="EV199" s="1708"/>
      <c r="EW199" s="1708"/>
      <c r="EX199" s="1708"/>
      <c r="EY199" s="1708"/>
      <c r="EZ199" s="1708"/>
      <c r="FA199" s="1708"/>
      <c r="FB199" s="1708"/>
      <c r="FC199" s="1708"/>
      <c r="FD199" s="1708"/>
      <c r="FE199" s="1708"/>
      <c r="FF199" s="1708"/>
      <c r="FG199" s="1708"/>
      <c r="FH199" s="1708"/>
      <c r="FI199" s="1708"/>
      <c r="FJ199" s="1708"/>
      <c r="FK199" s="1708"/>
      <c r="FL199" s="1708"/>
      <c r="FM199" s="1708"/>
      <c r="FN199" s="1708"/>
      <c r="FO199" s="1708"/>
      <c r="FP199" s="1708"/>
      <c r="FQ199" s="1708"/>
      <c r="FR199" s="1708"/>
      <c r="FS199" s="1708"/>
      <c r="FT199" s="1708"/>
      <c r="FU199" s="1708"/>
      <c r="FV199" s="1708"/>
      <c r="FW199" s="1708"/>
      <c r="FX199" s="1708"/>
      <c r="FY199" s="1708"/>
      <c r="FZ199" s="1708"/>
      <c r="GA199" s="1708"/>
      <c r="GB199" s="1708"/>
      <c r="GC199" s="1708"/>
      <c r="GD199" s="1708"/>
      <c r="GE199" s="1708"/>
      <c r="GF199" s="1708"/>
      <c r="GG199" s="1708"/>
      <c r="GH199" s="1708"/>
      <c r="GI199" s="1708"/>
      <c r="GJ199" s="1708"/>
      <c r="GK199" s="1708"/>
      <c r="GL199" s="1708"/>
      <c r="GM199" s="1708"/>
      <c r="GN199" s="1708"/>
      <c r="GO199" s="1708"/>
      <c r="GP199" s="1708"/>
      <c r="GQ199" s="1708"/>
      <c r="GR199" s="1708"/>
      <c r="GS199" s="1708"/>
      <c r="GT199" s="1708"/>
      <c r="GU199" s="1708"/>
      <c r="GV199" s="1708"/>
      <c r="GW199" s="1708"/>
      <c r="GX199" s="1708"/>
      <c r="GY199" s="1708"/>
      <c r="GZ199" s="1708"/>
      <c r="HA199" s="1708"/>
      <c r="HB199" s="1708"/>
      <c r="HC199" s="1708"/>
      <c r="HD199" s="1708"/>
      <c r="HE199" s="1708"/>
      <c r="HF199" s="1708"/>
      <c r="HG199" s="1708"/>
      <c r="HH199" s="1708"/>
      <c r="HI199" s="1708"/>
      <c r="HJ199" s="1708"/>
      <c r="HK199" s="1708"/>
      <c r="HL199" s="1708"/>
      <c r="HM199" s="1708"/>
      <c r="HN199" s="1708"/>
      <c r="HO199" s="1708"/>
      <c r="HP199" s="1708"/>
      <c r="HQ199" s="1708"/>
      <c r="HR199" s="1708"/>
      <c r="HS199" s="1708"/>
      <c r="HT199" s="1708"/>
      <c r="HU199" s="1708"/>
      <c r="HV199" s="1708"/>
      <c r="HW199" s="1708"/>
      <c r="HX199" s="1708"/>
      <c r="HY199" s="1708"/>
      <c r="HZ199" s="1708"/>
      <c r="IA199" s="1708"/>
      <c r="IB199" s="1708"/>
      <c r="IC199" s="1708"/>
      <c r="ID199" s="1708"/>
      <c r="IE199" s="1708"/>
      <c r="IF199" s="1708"/>
      <c r="IG199" s="1708"/>
      <c r="IH199" s="1708"/>
      <c r="II199" s="1708"/>
      <c r="IJ199" s="1708"/>
      <c r="IK199" s="1708"/>
      <c r="IL199" s="1708"/>
      <c r="IM199" s="1708"/>
      <c r="IN199" s="1708"/>
      <c r="IO199" s="1708"/>
      <c r="IP199" s="1708"/>
      <c r="IQ199" s="1708"/>
      <c r="IR199" s="1708"/>
      <c r="IS199" s="1708"/>
      <c r="IT199" s="1708"/>
      <c r="IU199" s="1708"/>
      <c r="IV199" s="1708"/>
    </row>
    <row r="200" spans="2:256" s="57" customFormat="1" x14ac:dyDescent="0.25">
      <c r="B200" s="1836"/>
      <c r="G200" s="1849"/>
      <c r="J200" s="1850"/>
      <c r="K200" s="1850"/>
      <c r="S200" s="1708"/>
      <c r="T200" s="1708"/>
      <c r="U200" s="1708"/>
      <c r="V200" s="1708"/>
      <c r="W200" s="1708"/>
      <c r="X200" s="1708"/>
      <c r="Y200" s="1708"/>
      <c r="Z200" s="1708"/>
      <c r="AA200" s="1708"/>
      <c r="AB200" s="1708"/>
      <c r="AC200" s="1708"/>
      <c r="AD200" s="1708"/>
      <c r="AE200" s="1708"/>
      <c r="AF200" s="1708"/>
      <c r="AG200" s="1708"/>
      <c r="AH200" s="1708"/>
      <c r="AI200" s="1708"/>
      <c r="AJ200" s="1708"/>
      <c r="AK200" s="1708"/>
      <c r="AL200" s="1708"/>
      <c r="AM200" s="1708"/>
      <c r="AN200" s="1708"/>
      <c r="AO200" s="1708"/>
      <c r="AP200" s="1708"/>
      <c r="AQ200" s="1708"/>
      <c r="AR200" s="1708"/>
      <c r="AS200" s="1708"/>
      <c r="AT200" s="1708"/>
      <c r="AU200" s="1708"/>
      <c r="AV200" s="1708"/>
      <c r="AW200" s="1708"/>
      <c r="AX200" s="1708"/>
      <c r="AY200" s="1708"/>
      <c r="AZ200" s="1708"/>
      <c r="BA200" s="1708"/>
      <c r="BB200" s="1708"/>
      <c r="BC200" s="1708"/>
      <c r="BD200" s="1708"/>
      <c r="BE200" s="1708"/>
      <c r="BF200" s="1708"/>
      <c r="BG200" s="1708"/>
      <c r="BH200" s="1708"/>
      <c r="BI200" s="1708"/>
      <c r="BJ200" s="1708"/>
      <c r="BK200" s="1708"/>
      <c r="BL200" s="1708"/>
      <c r="BM200" s="1708"/>
      <c r="BN200" s="1708"/>
      <c r="BO200" s="1708"/>
      <c r="BP200" s="1708"/>
      <c r="BQ200" s="1708"/>
      <c r="BR200" s="1708"/>
      <c r="BS200" s="1708"/>
      <c r="BT200" s="1708"/>
      <c r="BU200" s="1708"/>
      <c r="BV200" s="1708"/>
      <c r="BW200" s="1708"/>
      <c r="BX200" s="1708"/>
      <c r="BY200" s="1708"/>
      <c r="BZ200" s="1708"/>
      <c r="CA200" s="1708"/>
      <c r="CB200" s="1708"/>
      <c r="CC200" s="1708"/>
      <c r="CD200" s="1708"/>
      <c r="CE200" s="1708"/>
      <c r="CF200" s="1708"/>
      <c r="CG200" s="1708"/>
      <c r="CH200" s="1708"/>
      <c r="CI200" s="1708"/>
      <c r="CJ200" s="1708"/>
      <c r="CK200" s="1708"/>
      <c r="CL200" s="1708"/>
      <c r="CM200" s="1708"/>
      <c r="CN200" s="1708"/>
      <c r="CO200" s="1708"/>
      <c r="CP200" s="1708"/>
      <c r="CQ200" s="1708"/>
      <c r="CR200" s="1708"/>
      <c r="CS200" s="1708"/>
      <c r="CT200" s="1708"/>
      <c r="CU200" s="1708"/>
      <c r="CV200" s="1708"/>
      <c r="CW200" s="1708"/>
      <c r="CX200" s="1708"/>
      <c r="CY200" s="1708"/>
      <c r="CZ200" s="1708"/>
      <c r="DA200" s="1708"/>
      <c r="DB200" s="1708"/>
      <c r="DC200" s="1708"/>
      <c r="DD200" s="1708"/>
      <c r="DE200" s="1708"/>
      <c r="DF200" s="1708"/>
      <c r="DG200" s="1708"/>
      <c r="DH200" s="1708"/>
      <c r="DI200" s="1708"/>
      <c r="DJ200" s="1708"/>
      <c r="DK200" s="1708"/>
      <c r="DL200" s="1708"/>
      <c r="DM200" s="1708"/>
      <c r="DN200" s="1708"/>
      <c r="DO200" s="1708"/>
      <c r="DP200" s="1708"/>
      <c r="DQ200" s="1708"/>
      <c r="DR200" s="1708"/>
      <c r="DS200" s="1708"/>
      <c r="DT200" s="1708"/>
      <c r="DU200" s="1708"/>
      <c r="DV200" s="1708"/>
      <c r="DW200" s="1708"/>
      <c r="DX200" s="1708"/>
      <c r="DY200" s="1708"/>
      <c r="DZ200" s="1708"/>
      <c r="EA200" s="1708"/>
      <c r="EB200" s="1708"/>
      <c r="EC200" s="1708"/>
      <c r="ED200" s="1708"/>
      <c r="EE200" s="1708"/>
      <c r="EF200" s="1708"/>
      <c r="EG200" s="1708"/>
      <c r="EH200" s="1708"/>
      <c r="EI200" s="1708"/>
      <c r="EJ200" s="1708"/>
      <c r="EK200" s="1708"/>
      <c r="EL200" s="1708"/>
      <c r="EM200" s="1708"/>
      <c r="EN200" s="1708"/>
      <c r="EO200" s="1708"/>
      <c r="EP200" s="1708"/>
      <c r="EQ200" s="1708"/>
      <c r="ER200" s="1708"/>
      <c r="ES200" s="1708"/>
      <c r="ET200" s="1708"/>
      <c r="EU200" s="1708"/>
      <c r="EV200" s="1708"/>
      <c r="EW200" s="1708"/>
      <c r="EX200" s="1708"/>
      <c r="EY200" s="1708"/>
      <c r="EZ200" s="1708"/>
      <c r="FA200" s="1708"/>
      <c r="FB200" s="1708"/>
      <c r="FC200" s="1708"/>
      <c r="FD200" s="1708"/>
      <c r="FE200" s="1708"/>
      <c r="FF200" s="1708"/>
      <c r="FG200" s="1708"/>
      <c r="FH200" s="1708"/>
      <c r="FI200" s="1708"/>
      <c r="FJ200" s="1708"/>
      <c r="FK200" s="1708"/>
      <c r="FL200" s="1708"/>
      <c r="FM200" s="1708"/>
      <c r="FN200" s="1708"/>
      <c r="FO200" s="1708"/>
      <c r="FP200" s="1708"/>
      <c r="FQ200" s="1708"/>
      <c r="FR200" s="1708"/>
      <c r="FS200" s="1708"/>
      <c r="FT200" s="1708"/>
      <c r="FU200" s="1708"/>
      <c r="FV200" s="1708"/>
      <c r="FW200" s="1708"/>
      <c r="FX200" s="1708"/>
      <c r="FY200" s="1708"/>
      <c r="FZ200" s="1708"/>
      <c r="GA200" s="1708"/>
      <c r="GB200" s="1708"/>
      <c r="GC200" s="1708"/>
      <c r="GD200" s="1708"/>
      <c r="GE200" s="1708"/>
      <c r="GF200" s="1708"/>
      <c r="GG200" s="1708"/>
      <c r="GH200" s="1708"/>
      <c r="GI200" s="1708"/>
      <c r="GJ200" s="1708"/>
      <c r="GK200" s="1708"/>
      <c r="GL200" s="1708"/>
      <c r="GM200" s="1708"/>
      <c r="GN200" s="1708"/>
      <c r="GO200" s="1708"/>
      <c r="GP200" s="1708"/>
      <c r="GQ200" s="1708"/>
      <c r="GR200" s="1708"/>
      <c r="GS200" s="1708"/>
      <c r="GT200" s="1708"/>
      <c r="GU200" s="1708"/>
      <c r="GV200" s="1708"/>
      <c r="GW200" s="1708"/>
      <c r="GX200" s="1708"/>
      <c r="GY200" s="1708"/>
      <c r="GZ200" s="1708"/>
      <c r="HA200" s="1708"/>
      <c r="HB200" s="1708"/>
      <c r="HC200" s="1708"/>
      <c r="HD200" s="1708"/>
      <c r="HE200" s="1708"/>
      <c r="HF200" s="1708"/>
      <c r="HG200" s="1708"/>
      <c r="HH200" s="1708"/>
      <c r="HI200" s="1708"/>
      <c r="HJ200" s="1708"/>
      <c r="HK200" s="1708"/>
      <c r="HL200" s="1708"/>
      <c r="HM200" s="1708"/>
      <c r="HN200" s="1708"/>
      <c r="HO200" s="1708"/>
      <c r="HP200" s="1708"/>
      <c r="HQ200" s="1708"/>
      <c r="HR200" s="1708"/>
      <c r="HS200" s="1708"/>
      <c r="HT200" s="1708"/>
      <c r="HU200" s="1708"/>
      <c r="HV200" s="1708"/>
      <c r="HW200" s="1708"/>
      <c r="HX200" s="1708"/>
      <c r="HY200" s="1708"/>
      <c r="HZ200" s="1708"/>
      <c r="IA200" s="1708"/>
      <c r="IB200" s="1708"/>
      <c r="IC200" s="1708"/>
      <c r="ID200" s="1708"/>
      <c r="IE200" s="1708"/>
      <c r="IF200" s="1708"/>
      <c r="IG200" s="1708"/>
      <c r="IH200" s="1708"/>
      <c r="II200" s="1708"/>
      <c r="IJ200" s="1708"/>
      <c r="IK200" s="1708"/>
      <c r="IL200" s="1708"/>
      <c r="IM200" s="1708"/>
      <c r="IN200" s="1708"/>
      <c r="IO200" s="1708"/>
      <c r="IP200" s="1708"/>
      <c r="IQ200" s="1708"/>
      <c r="IR200" s="1708"/>
      <c r="IS200" s="1708"/>
      <c r="IT200" s="1708"/>
      <c r="IU200" s="1708"/>
      <c r="IV200" s="1708"/>
    </row>
    <row r="201" spans="2:256" s="57" customFormat="1" x14ac:dyDescent="0.25">
      <c r="B201" s="1836"/>
      <c r="G201" s="1849"/>
      <c r="J201" s="1850"/>
      <c r="K201" s="1850"/>
      <c r="S201" s="1708"/>
      <c r="T201" s="1708"/>
      <c r="U201" s="1708"/>
      <c r="V201" s="1708"/>
      <c r="W201" s="1708"/>
      <c r="X201" s="1708"/>
      <c r="Y201" s="1708"/>
      <c r="Z201" s="1708"/>
      <c r="AA201" s="1708"/>
      <c r="AB201" s="1708"/>
      <c r="AC201" s="1708"/>
      <c r="AD201" s="1708"/>
      <c r="AE201" s="1708"/>
      <c r="AF201" s="1708"/>
      <c r="AG201" s="1708"/>
      <c r="AH201" s="1708"/>
      <c r="AI201" s="1708"/>
      <c r="AJ201" s="1708"/>
      <c r="AK201" s="1708"/>
      <c r="AL201" s="1708"/>
      <c r="AM201" s="1708"/>
      <c r="AN201" s="1708"/>
      <c r="AO201" s="1708"/>
      <c r="AP201" s="1708"/>
      <c r="AQ201" s="1708"/>
      <c r="AR201" s="1708"/>
      <c r="AS201" s="1708"/>
      <c r="AT201" s="1708"/>
      <c r="AU201" s="1708"/>
      <c r="AV201" s="1708"/>
      <c r="AW201" s="1708"/>
      <c r="AX201" s="1708"/>
      <c r="AY201" s="1708"/>
      <c r="AZ201" s="1708"/>
      <c r="BA201" s="1708"/>
      <c r="BB201" s="1708"/>
      <c r="BC201" s="1708"/>
      <c r="BD201" s="1708"/>
      <c r="BE201" s="1708"/>
      <c r="BF201" s="1708"/>
      <c r="BG201" s="1708"/>
      <c r="BH201" s="1708"/>
      <c r="BI201" s="1708"/>
      <c r="BJ201" s="1708"/>
      <c r="BK201" s="1708"/>
      <c r="BL201" s="1708"/>
      <c r="BM201" s="1708"/>
      <c r="BN201" s="1708"/>
      <c r="BO201" s="1708"/>
      <c r="BP201" s="1708"/>
      <c r="BQ201" s="1708"/>
      <c r="BR201" s="1708"/>
      <c r="BS201" s="1708"/>
      <c r="BT201" s="1708"/>
      <c r="BU201" s="1708"/>
      <c r="BV201" s="1708"/>
      <c r="BW201" s="1708"/>
      <c r="BX201" s="1708"/>
      <c r="BY201" s="1708"/>
      <c r="BZ201" s="1708"/>
      <c r="CA201" s="1708"/>
      <c r="CB201" s="1708"/>
      <c r="CC201" s="1708"/>
      <c r="CD201" s="1708"/>
      <c r="CE201" s="1708"/>
      <c r="CF201" s="1708"/>
      <c r="CG201" s="1708"/>
      <c r="CH201" s="1708"/>
      <c r="CI201" s="1708"/>
      <c r="CJ201" s="1708"/>
      <c r="CK201" s="1708"/>
      <c r="CL201" s="1708"/>
      <c r="CM201" s="1708"/>
      <c r="CN201" s="1708"/>
      <c r="CO201" s="1708"/>
      <c r="CP201" s="1708"/>
      <c r="CQ201" s="1708"/>
      <c r="CR201" s="1708"/>
      <c r="CS201" s="1708"/>
      <c r="CT201" s="1708"/>
      <c r="CU201" s="1708"/>
      <c r="CV201" s="1708"/>
      <c r="CW201" s="1708"/>
      <c r="CX201" s="1708"/>
      <c r="CY201" s="1708"/>
      <c r="CZ201" s="1708"/>
      <c r="DA201" s="1708"/>
      <c r="DB201" s="1708"/>
      <c r="DC201" s="1708"/>
      <c r="DD201" s="1708"/>
      <c r="DE201" s="1708"/>
      <c r="DF201" s="1708"/>
      <c r="DG201" s="1708"/>
      <c r="DH201" s="1708"/>
      <c r="DI201" s="1708"/>
      <c r="DJ201" s="1708"/>
      <c r="DK201" s="1708"/>
      <c r="DL201" s="1708"/>
      <c r="DM201" s="1708"/>
      <c r="DN201" s="1708"/>
      <c r="DO201" s="1708"/>
      <c r="DP201" s="1708"/>
      <c r="DQ201" s="1708"/>
      <c r="DR201" s="1708"/>
      <c r="DS201" s="1708"/>
      <c r="DT201" s="1708"/>
      <c r="DU201" s="1708"/>
      <c r="DV201" s="1708"/>
      <c r="DW201" s="1708"/>
      <c r="DX201" s="1708"/>
      <c r="DY201" s="1708"/>
      <c r="DZ201" s="1708"/>
      <c r="EA201" s="1708"/>
      <c r="EB201" s="1708"/>
      <c r="EC201" s="1708"/>
      <c r="ED201" s="1708"/>
      <c r="EE201" s="1708"/>
      <c r="EF201" s="1708"/>
      <c r="EG201" s="1708"/>
      <c r="EH201" s="1708"/>
      <c r="EI201" s="1708"/>
      <c r="EJ201" s="1708"/>
      <c r="EK201" s="1708"/>
      <c r="EL201" s="1708"/>
      <c r="EM201" s="1708"/>
      <c r="EN201" s="1708"/>
      <c r="EO201" s="1708"/>
      <c r="EP201" s="1708"/>
      <c r="EQ201" s="1708"/>
      <c r="ER201" s="1708"/>
      <c r="ES201" s="1708"/>
      <c r="ET201" s="1708"/>
      <c r="EU201" s="1708"/>
      <c r="EV201" s="1708"/>
      <c r="EW201" s="1708"/>
      <c r="EX201" s="1708"/>
      <c r="EY201" s="1708"/>
      <c r="EZ201" s="1708"/>
      <c r="FA201" s="1708"/>
      <c r="FB201" s="1708"/>
      <c r="FC201" s="1708"/>
      <c r="FD201" s="1708"/>
      <c r="FE201" s="1708"/>
      <c r="FF201" s="1708"/>
      <c r="FG201" s="1708"/>
      <c r="FH201" s="1708"/>
      <c r="FI201" s="1708"/>
      <c r="FJ201" s="1708"/>
      <c r="FK201" s="1708"/>
      <c r="FL201" s="1708"/>
      <c r="FM201" s="1708"/>
      <c r="FN201" s="1708"/>
      <c r="FO201" s="1708"/>
      <c r="FP201" s="1708"/>
      <c r="FQ201" s="1708"/>
      <c r="FR201" s="1708"/>
      <c r="FS201" s="1708"/>
      <c r="FT201" s="1708"/>
      <c r="FU201" s="1708"/>
      <c r="FV201" s="1708"/>
      <c r="FW201" s="1708"/>
      <c r="FX201" s="1708"/>
      <c r="FY201" s="1708"/>
      <c r="FZ201" s="1708"/>
      <c r="GA201" s="1708"/>
      <c r="GB201" s="1708"/>
      <c r="GC201" s="1708"/>
      <c r="GD201" s="1708"/>
      <c r="GE201" s="1708"/>
      <c r="GF201" s="1708"/>
      <c r="GG201" s="1708"/>
      <c r="GH201" s="1708"/>
      <c r="GI201" s="1708"/>
      <c r="GJ201" s="1708"/>
      <c r="GK201" s="1708"/>
      <c r="GL201" s="1708"/>
      <c r="GM201" s="1708"/>
      <c r="GN201" s="1708"/>
      <c r="GO201" s="1708"/>
      <c r="GP201" s="1708"/>
      <c r="GQ201" s="1708"/>
      <c r="GR201" s="1708"/>
      <c r="GS201" s="1708"/>
      <c r="GT201" s="1708"/>
      <c r="GU201" s="1708"/>
      <c r="GV201" s="1708"/>
      <c r="GW201" s="1708"/>
      <c r="GX201" s="1708"/>
      <c r="GY201" s="1708"/>
      <c r="GZ201" s="1708"/>
      <c r="HA201" s="1708"/>
      <c r="HB201" s="1708"/>
      <c r="HC201" s="1708"/>
      <c r="HD201" s="1708"/>
      <c r="HE201" s="1708"/>
      <c r="HF201" s="1708"/>
      <c r="HG201" s="1708"/>
      <c r="HH201" s="1708"/>
      <c r="HI201" s="1708"/>
      <c r="HJ201" s="1708"/>
      <c r="HK201" s="1708"/>
      <c r="HL201" s="1708"/>
      <c r="HM201" s="1708"/>
      <c r="HN201" s="1708"/>
      <c r="HO201" s="1708"/>
      <c r="HP201" s="1708"/>
      <c r="HQ201" s="1708"/>
      <c r="HR201" s="1708"/>
      <c r="HS201" s="1708"/>
      <c r="HT201" s="1708"/>
      <c r="HU201" s="1708"/>
      <c r="HV201" s="1708"/>
      <c r="HW201" s="1708"/>
      <c r="HX201" s="1708"/>
      <c r="HY201" s="1708"/>
      <c r="HZ201" s="1708"/>
      <c r="IA201" s="1708"/>
      <c r="IB201" s="1708"/>
      <c r="IC201" s="1708"/>
      <c r="ID201" s="1708"/>
      <c r="IE201" s="1708"/>
      <c r="IF201" s="1708"/>
      <c r="IG201" s="1708"/>
      <c r="IH201" s="1708"/>
      <c r="II201" s="1708"/>
      <c r="IJ201" s="1708"/>
      <c r="IK201" s="1708"/>
      <c r="IL201" s="1708"/>
      <c r="IM201" s="1708"/>
      <c r="IN201" s="1708"/>
      <c r="IO201" s="1708"/>
      <c r="IP201" s="1708"/>
      <c r="IQ201" s="1708"/>
      <c r="IR201" s="1708"/>
      <c r="IS201" s="1708"/>
      <c r="IT201" s="1708"/>
      <c r="IU201" s="1708"/>
      <c r="IV201" s="1708"/>
    </row>
    <row r="202" spans="2:256" s="57" customFormat="1" x14ac:dyDescent="0.25">
      <c r="B202" s="1836"/>
      <c r="G202" s="1849"/>
      <c r="J202" s="1850"/>
      <c r="K202" s="1850"/>
      <c r="S202" s="1708"/>
      <c r="T202" s="1708"/>
      <c r="U202" s="1708"/>
      <c r="V202" s="1708"/>
      <c r="W202" s="1708"/>
      <c r="X202" s="1708"/>
      <c r="Y202" s="1708"/>
      <c r="Z202" s="1708"/>
      <c r="AA202" s="1708"/>
      <c r="AB202" s="1708"/>
      <c r="AC202" s="1708"/>
      <c r="AD202" s="1708"/>
      <c r="AE202" s="1708"/>
      <c r="AF202" s="1708"/>
      <c r="AG202" s="1708"/>
      <c r="AH202" s="1708"/>
      <c r="AI202" s="1708"/>
      <c r="AJ202" s="1708"/>
      <c r="AK202" s="1708"/>
      <c r="AL202" s="1708"/>
      <c r="AM202" s="1708"/>
      <c r="AN202" s="1708"/>
      <c r="AO202" s="1708"/>
      <c r="AP202" s="1708"/>
      <c r="AQ202" s="1708"/>
      <c r="AR202" s="1708"/>
      <c r="AS202" s="1708"/>
      <c r="AT202" s="1708"/>
      <c r="AU202" s="1708"/>
      <c r="AV202" s="1708"/>
      <c r="AW202" s="1708"/>
      <c r="AX202" s="1708"/>
      <c r="AY202" s="1708"/>
      <c r="AZ202" s="1708"/>
      <c r="BA202" s="1708"/>
      <c r="BB202" s="1708"/>
      <c r="BC202" s="1708"/>
      <c r="BD202" s="1708"/>
      <c r="BE202" s="1708"/>
      <c r="BF202" s="1708"/>
      <c r="BG202" s="1708"/>
      <c r="BH202" s="1708"/>
      <c r="BI202" s="1708"/>
      <c r="BJ202" s="1708"/>
      <c r="BK202" s="1708"/>
      <c r="BL202" s="1708"/>
      <c r="BM202" s="1708"/>
      <c r="BN202" s="1708"/>
      <c r="BO202" s="1708"/>
      <c r="BP202" s="1708"/>
      <c r="BQ202" s="1708"/>
      <c r="BR202" s="1708"/>
      <c r="BS202" s="1708"/>
      <c r="BT202" s="1708"/>
      <c r="BU202" s="1708"/>
      <c r="BV202" s="1708"/>
      <c r="BW202" s="1708"/>
      <c r="BX202" s="1708"/>
      <c r="BY202" s="1708"/>
      <c r="BZ202" s="1708"/>
      <c r="CA202" s="1708"/>
      <c r="CB202" s="1708"/>
      <c r="CC202" s="1708"/>
      <c r="CD202" s="1708"/>
      <c r="CE202" s="1708"/>
      <c r="CF202" s="1708"/>
      <c r="CG202" s="1708"/>
      <c r="CH202" s="1708"/>
      <c r="CI202" s="1708"/>
      <c r="CJ202" s="1708"/>
      <c r="CK202" s="1708"/>
      <c r="CL202" s="1708"/>
      <c r="CM202" s="1708"/>
      <c r="CN202" s="1708"/>
      <c r="CO202" s="1708"/>
      <c r="CP202" s="1708"/>
      <c r="CQ202" s="1708"/>
      <c r="CR202" s="1708"/>
      <c r="CS202" s="1708"/>
      <c r="CT202" s="1708"/>
      <c r="CU202" s="1708"/>
      <c r="CV202" s="1708"/>
      <c r="CW202" s="1708"/>
      <c r="CX202" s="1708"/>
      <c r="CY202" s="1708"/>
      <c r="CZ202" s="1708"/>
      <c r="DA202" s="1708"/>
      <c r="DB202" s="1708"/>
      <c r="DC202" s="1708"/>
      <c r="DD202" s="1708"/>
      <c r="DE202" s="1708"/>
      <c r="DF202" s="1708"/>
      <c r="DG202" s="1708"/>
      <c r="DH202" s="1708"/>
      <c r="DI202" s="1708"/>
      <c r="DJ202" s="1708"/>
      <c r="DK202" s="1708"/>
      <c r="DL202" s="1708"/>
      <c r="DM202" s="1708"/>
      <c r="DN202" s="1708"/>
      <c r="DO202" s="1708"/>
      <c r="DP202" s="1708"/>
      <c r="DQ202" s="1708"/>
      <c r="DR202" s="1708"/>
      <c r="DS202" s="1708"/>
      <c r="DT202" s="1708"/>
      <c r="DU202" s="1708"/>
      <c r="DV202" s="1708"/>
      <c r="DW202" s="1708"/>
      <c r="DX202" s="1708"/>
      <c r="DY202" s="1708"/>
      <c r="DZ202" s="1708"/>
      <c r="EA202" s="1708"/>
      <c r="EB202" s="1708"/>
      <c r="EC202" s="1708"/>
      <c r="ED202" s="1708"/>
      <c r="EE202" s="1708"/>
      <c r="EF202" s="1708"/>
      <c r="EG202" s="1708"/>
      <c r="EH202" s="1708"/>
      <c r="EI202" s="1708"/>
      <c r="EJ202" s="1708"/>
      <c r="EK202" s="1708"/>
      <c r="EL202" s="1708"/>
      <c r="EM202" s="1708"/>
      <c r="EN202" s="1708"/>
      <c r="EO202" s="1708"/>
      <c r="EP202" s="1708"/>
      <c r="EQ202" s="1708"/>
      <c r="ER202" s="1708"/>
      <c r="ES202" s="1708"/>
      <c r="ET202" s="1708"/>
      <c r="EU202" s="1708"/>
      <c r="EV202" s="1708"/>
      <c r="EW202" s="1708"/>
      <c r="EX202" s="1708"/>
      <c r="EY202" s="1708"/>
      <c r="EZ202" s="1708"/>
      <c r="FA202" s="1708"/>
      <c r="FB202" s="1708"/>
      <c r="FC202" s="1708"/>
      <c r="FD202" s="1708"/>
      <c r="FE202" s="1708"/>
      <c r="FF202" s="1708"/>
      <c r="FG202" s="1708"/>
      <c r="FH202" s="1708"/>
      <c r="FI202" s="1708"/>
      <c r="FJ202" s="1708"/>
      <c r="FK202" s="1708"/>
      <c r="FL202" s="1708"/>
      <c r="FM202" s="1708"/>
      <c r="FN202" s="1708"/>
      <c r="FO202" s="1708"/>
      <c r="FP202" s="1708"/>
      <c r="FQ202" s="1708"/>
      <c r="FR202" s="1708"/>
      <c r="FS202" s="1708"/>
      <c r="FT202" s="1708"/>
      <c r="FU202" s="1708"/>
      <c r="FV202" s="1708"/>
      <c r="FW202" s="1708"/>
      <c r="FX202" s="1708"/>
      <c r="FY202" s="1708"/>
      <c r="FZ202" s="1708"/>
      <c r="GA202" s="1708"/>
      <c r="GB202" s="1708"/>
      <c r="GC202" s="1708"/>
      <c r="GD202" s="1708"/>
      <c r="GE202" s="1708"/>
      <c r="GF202" s="1708"/>
      <c r="GG202" s="1708"/>
      <c r="GH202" s="1708"/>
      <c r="GI202" s="1708"/>
      <c r="GJ202" s="1708"/>
      <c r="GK202" s="1708"/>
      <c r="GL202" s="1708"/>
      <c r="GM202" s="1708"/>
      <c r="GN202" s="1708"/>
      <c r="GO202" s="1708"/>
      <c r="GP202" s="1708"/>
      <c r="GQ202" s="1708"/>
      <c r="GR202" s="1708"/>
      <c r="GS202" s="1708"/>
      <c r="GT202" s="1708"/>
      <c r="GU202" s="1708"/>
      <c r="GV202" s="1708"/>
      <c r="GW202" s="1708"/>
      <c r="GX202" s="1708"/>
      <c r="GY202" s="1708"/>
      <c r="GZ202" s="1708"/>
      <c r="HA202" s="1708"/>
      <c r="HB202" s="1708"/>
      <c r="HC202" s="1708"/>
      <c r="HD202" s="1708"/>
      <c r="HE202" s="1708"/>
      <c r="HF202" s="1708"/>
      <c r="HG202" s="1708"/>
      <c r="HH202" s="1708"/>
      <c r="HI202" s="1708"/>
      <c r="HJ202" s="1708"/>
      <c r="HK202" s="1708"/>
      <c r="HL202" s="1708"/>
      <c r="HM202" s="1708"/>
      <c r="HN202" s="1708"/>
      <c r="HO202" s="1708"/>
      <c r="HP202" s="1708"/>
      <c r="HQ202" s="1708"/>
      <c r="HR202" s="1708"/>
      <c r="HS202" s="1708"/>
      <c r="HT202" s="1708"/>
      <c r="HU202" s="1708"/>
      <c r="HV202" s="1708"/>
      <c r="HW202" s="1708"/>
      <c r="HX202" s="1708"/>
      <c r="HY202" s="1708"/>
      <c r="HZ202" s="1708"/>
      <c r="IA202" s="1708"/>
      <c r="IB202" s="1708"/>
      <c r="IC202" s="1708"/>
      <c r="ID202" s="1708"/>
      <c r="IE202" s="1708"/>
      <c r="IF202" s="1708"/>
      <c r="IG202" s="1708"/>
      <c r="IH202" s="1708"/>
      <c r="II202" s="1708"/>
      <c r="IJ202" s="1708"/>
      <c r="IK202" s="1708"/>
      <c r="IL202" s="1708"/>
      <c r="IM202" s="1708"/>
      <c r="IN202" s="1708"/>
      <c r="IO202" s="1708"/>
      <c r="IP202" s="1708"/>
      <c r="IQ202" s="1708"/>
      <c r="IR202" s="1708"/>
      <c r="IS202" s="1708"/>
      <c r="IT202" s="1708"/>
      <c r="IU202" s="1708"/>
      <c r="IV202" s="1708"/>
    </row>
    <row r="203" spans="2:256" s="57" customFormat="1" x14ac:dyDescent="0.25">
      <c r="B203" s="1836"/>
      <c r="G203" s="1849"/>
      <c r="J203" s="1850"/>
      <c r="K203" s="1850"/>
      <c r="S203" s="1708"/>
      <c r="T203" s="1708"/>
      <c r="U203" s="1708"/>
      <c r="V203" s="1708"/>
      <c r="W203" s="1708"/>
      <c r="X203" s="1708"/>
      <c r="Y203" s="1708"/>
      <c r="Z203" s="1708"/>
      <c r="AA203" s="1708"/>
      <c r="AB203" s="1708"/>
      <c r="AC203" s="1708"/>
      <c r="AD203" s="1708"/>
      <c r="AE203" s="1708"/>
      <c r="AF203" s="1708"/>
      <c r="AG203" s="1708"/>
      <c r="AH203" s="1708"/>
      <c r="AI203" s="1708"/>
      <c r="AJ203" s="1708"/>
      <c r="AK203" s="1708"/>
      <c r="AL203" s="1708"/>
      <c r="AM203" s="1708"/>
      <c r="AN203" s="1708"/>
      <c r="AO203" s="1708"/>
      <c r="AP203" s="1708"/>
      <c r="AQ203" s="1708"/>
      <c r="AR203" s="1708"/>
      <c r="AS203" s="1708"/>
      <c r="AT203" s="1708"/>
      <c r="AU203" s="1708"/>
      <c r="AV203" s="1708"/>
      <c r="AW203" s="1708"/>
      <c r="AX203" s="1708"/>
      <c r="AY203" s="1708"/>
      <c r="AZ203" s="1708"/>
      <c r="BA203" s="1708"/>
      <c r="BB203" s="1708"/>
      <c r="BC203" s="1708"/>
      <c r="BD203" s="1708"/>
      <c r="BE203" s="1708"/>
      <c r="BF203" s="1708"/>
      <c r="BG203" s="1708"/>
      <c r="BH203" s="1708"/>
      <c r="BI203" s="1708"/>
      <c r="BJ203" s="1708"/>
      <c r="BK203" s="1708"/>
      <c r="BL203" s="1708"/>
      <c r="BM203" s="1708"/>
      <c r="BN203" s="1708"/>
      <c r="BO203" s="1708"/>
      <c r="BP203" s="1708"/>
      <c r="BQ203" s="1708"/>
      <c r="BR203" s="1708"/>
      <c r="BS203" s="1708"/>
      <c r="BT203" s="1708"/>
      <c r="BU203" s="1708"/>
      <c r="BV203" s="1708"/>
      <c r="BW203" s="1708"/>
      <c r="BX203" s="1708"/>
      <c r="BY203" s="1708"/>
      <c r="BZ203" s="1708"/>
      <c r="CA203" s="1708"/>
      <c r="CB203" s="1708"/>
      <c r="CC203" s="1708"/>
      <c r="CD203" s="1708"/>
      <c r="CE203" s="1708"/>
      <c r="CF203" s="1708"/>
      <c r="CG203" s="1708"/>
      <c r="CH203" s="1708"/>
      <c r="CI203" s="1708"/>
      <c r="CJ203" s="1708"/>
      <c r="CK203" s="1708"/>
      <c r="CL203" s="1708"/>
      <c r="CM203" s="1708"/>
      <c r="CN203" s="1708"/>
      <c r="CO203" s="1708"/>
      <c r="CP203" s="1708"/>
      <c r="CQ203" s="1708"/>
      <c r="CR203" s="1708"/>
      <c r="CS203" s="1708"/>
      <c r="CT203" s="1708"/>
      <c r="CU203" s="1708"/>
      <c r="CV203" s="1708"/>
      <c r="CW203" s="1708"/>
      <c r="CX203" s="1708"/>
      <c r="CY203" s="1708"/>
      <c r="CZ203" s="1708"/>
      <c r="DA203" s="1708"/>
      <c r="DB203" s="1708"/>
      <c r="DC203" s="1708"/>
      <c r="DD203" s="1708"/>
      <c r="DE203" s="1708"/>
      <c r="DF203" s="1708"/>
      <c r="DG203" s="1708"/>
      <c r="DH203" s="1708"/>
      <c r="DI203" s="1708"/>
      <c r="DJ203" s="1708"/>
      <c r="DK203" s="1708"/>
      <c r="DL203" s="1708"/>
      <c r="DM203" s="1708"/>
      <c r="DN203" s="1708"/>
      <c r="DO203" s="1708"/>
      <c r="DP203" s="1708"/>
      <c r="DQ203" s="1708"/>
      <c r="DR203" s="1708"/>
      <c r="DS203" s="1708"/>
      <c r="DT203" s="1708"/>
      <c r="DU203" s="1708"/>
      <c r="DV203" s="1708"/>
      <c r="DW203" s="1708"/>
      <c r="DX203" s="1708"/>
      <c r="DY203" s="1708"/>
      <c r="DZ203" s="1708"/>
      <c r="EA203" s="1708"/>
      <c r="EB203" s="1708"/>
      <c r="EC203" s="1708"/>
      <c r="ED203" s="1708"/>
      <c r="EE203" s="1708"/>
      <c r="EF203" s="1708"/>
      <c r="EG203" s="1708"/>
      <c r="EH203" s="1708"/>
      <c r="EI203" s="1708"/>
      <c r="EJ203" s="1708"/>
      <c r="EK203" s="1708"/>
      <c r="EL203" s="1708"/>
      <c r="EM203" s="1708"/>
      <c r="EN203" s="1708"/>
      <c r="EO203" s="1708"/>
      <c r="EP203" s="1708"/>
      <c r="EQ203" s="1708"/>
      <c r="ER203" s="1708"/>
      <c r="ES203" s="1708"/>
      <c r="ET203" s="1708"/>
      <c r="EU203" s="1708"/>
      <c r="EV203" s="1708"/>
      <c r="EW203" s="1708"/>
      <c r="EX203" s="1708"/>
      <c r="EY203" s="1708"/>
      <c r="EZ203" s="1708"/>
      <c r="FA203" s="1708"/>
      <c r="FB203" s="1708"/>
      <c r="FC203" s="1708"/>
      <c r="FD203" s="1708"/>
      <c r="FE203" s="1708"/>
      <c r="FF203" s="1708"/>
      <c r="FG203" s="1708"/>
      <c r="FH203" s="1708"/>
      <c r="FI203" s="1708"/>
      <c r="FJ203" s="1708"/>
      <c r="FK203" s="1708"/>
      <c r="FL203" s="1708"/>
      <c r="FM203" s="1708"/>
      <c r="FN203" s="1708"/>
      <c r="FO203" s="1708"/>
      <c r="FP203" s="1708"/>
      <c r="FQ203" s="1708"/>
      <c r="FR203" s="1708"/>
      <c r="FS203" s="1708"/>
      <c r="FT203" s="1708"/>
      <c r="FU203" s="1708"/>
      <c r="FV203" s="1708"/>
      <c r="FW203" s="1708"/>
      <c r="FX203" s="1708"/>
      <c r="FY203" s="1708"/>
      <c r="FZ203" s="1708"/>
      <c r="GA203" s="1708"/>
      <c r="GB203" s="1708"/>
      <c r="GC203" s="1708"/>
      <c r="GD203" s="1708"/>
      <c r="GE203" s="1708"/>
      <c r="GF203" s="1708"/>
      <c r="GG203" s="1708"/>
      <c r="GH203" s="1708"/>
      <c r="GI203" s="1708"/>
      <c r="GJ203" s="1708"/>
      <c r="GK203" s="1708"/>
      <c r="GL203" s="1708"/>
      <c r="GM203" s="1708"/>
      <c r="GN203" s="1708"/>
      <c r="GO203" s="1708"/>
      <c r="GP203" s="1708"/>
      <c r="GQ203" s="1708"/>
      <c r="GR203" s="1708"/>
      <c r="GS203" s="1708"/>
      <c r="GT203" s="1708"/>
      <c r="GU203" s="1708"/>
      <c r="GV203" s="1708"/>
      <c r="GW203" s="1708"/>
      <c r="GX203" s="1708"/>
      <c r="GY203" s="1708"/>
      <c r="GZ203" s="1708"/>
      <c r="HA203" s="1708"/>
      <c r="HB203" s="1708"/>
      <c r="HC203" s="1708"/>
      <c r="HD203" s="1708"/>
      <c r="HE203" s="1708"/>
      <c r="HF203" s="1708"/>
      <c r="HG203" s="1708"/>
      <c r="HH203" s="1708"/>
      <c r="HI203" s="1708"/>
      <c r="HJ203" s="1708"/>
      <c r="HK203" s="1708"/>
      <c r="HL203" s="1708"/>
      <c r="HM203" s="1708"/>
      <c r="HN203" s="1708"/>
      <c r="HO203" s="1708"/>
      <c r="HP203" s="1708"/>
      <c r="HQ203" s="1708"/>
      <c r="HR203" s="1708"/>
      <c r="HS203" s="1708"/>
      <c r="HT203" s="1708"/>
      <c r="HU203" s="1708"/>
      <c r="HV203" s="1708"/>
      <c r="HW203" s="1708"/>
      <c r="HX203" s="1708"/>
      <c r="HY203" s="1708"/>
      <c r="HZ203" s="1708"/>
      <c r="IA203" s="1708"/>
      <c r="IB203" s="1708"/>
      <c r="IC203" s="1708"/>
      <c r="ID203" s="1708"/>
      <c r="IE203" s="1708"/>
      <c r="IF203" s="1708"/>
      <c r="IG203" s="1708"/>
      <c r="IH203" s="1708"/>
      <c r="II203" s="1708"/>
      <c r="IJ203" s="1708"/>
      <c r="IK203" s="1708"/>
      <c r="IL203" s="1708"/>
      <c r="IM203" s="1708"/>
      <c r="IN203" s="1708"/>
      <c r="IO203" s="1708"/>
      <c r="IP203" s="1708"/>
      <c r="IQ203" s="1708"/>
      <c r="IR203" s="1708"/>
      <c r="IS203" s="1708"/>
      <c r="IT203" s="1708"/>
      <c r="IU203" s="1708"/>
      <c r="IV203" s="1708"/>
    </row>
    <row r="204" spans="2:256" s="57" customFormat="1" x14ac:dyDescent="0.25">
      <c r="B204" s="1836"/>
      <c r="G204" s="1849"/>
      <c r="J204" s="1850"/>
      <c r="K204" s="1850"/>
      <c r="S204" s="1708"/>
      <c r="T204" s="1708"/>
      <c r="U204" s="1708"/>
      <c r="V204" s="1708"/>
      <c r="W204" s="1708"/>
      <c r="X204" s="1708"/>
      <c r="Y204" s="1708"/>
      <c r="Z204" s="1708"/>
      <c r="AA204" s="1708"/>
      <c r="AB204" s="1708"/>
      <c r="AC204" s="1708"/>
      <c r="AD204" s="1708"/>
      <c r="AE204" s="1708"/>
      <c r="AF204" s="1708"/>
      <c r="AG204" s="1708"/>
      <c r="AH204" s="1708"/>
      <c r="AI204" s="1708"/>
      <c r="AJ204" s="1708"/>
      <c r="AK204" s="1708"/>
      <c r="AL204" s="1708"/>
      <c r="AM204" s="1708"/>
      <c r="AN204" s="1708"/>
      <c r="AO204" s="1708"/>
      <c r="AP204" s="1708"/>
      <c r="AQ204" s="1708"/>
      <c r="AR204" s="1708"/>
      <c r="AS204" s="1708"/>
      <c r="AT204" s="1708"/>
      <c r="AU204" s="1708"/>
      <c r="AV204" s="1708"/>
      <c r="AW204" s="1708"/>
      <c r="AX204" s="1708"/>
      <c r="AY204" s="1708"/>
      <c r="AZ204" s="1708"/>
      <c r="BA204" s="1708"/>
      <c r="BB204" s="1708"/>
      <c r="BC204" s="1708"/>
      <c r="BD204" s="1708"/>
      <c r="BE204" s="1708"/>
      <c r="BF204" s="1708"/>
      <c r="BG204" s="1708"/>
      <c r="BH204" s="1708"/>
      <c r="BI204" s="1708"/>
      <c r="BJ204" s="1708"/>
      <c r="BK204" s="1708"/>
      <c r="BL204" s="1708"/>
      <c r="BM204" s="1708"/>
      <c r="BN204" s="1708"/>
      <c r="BO204" s="1708"/>
      <c r="BP204" s="1708"/>
      <c r="BQ204" s="1708"/>
      <c r="BR204" s="1708"/>
      <c r="BS204" s="1708"/>
      <c r="BT204" s="1708"/>
      <c r="BU204" s="1708"/>
      <c r="BV204" s="1708"/>
      <c r="BW204" s="1708"/>
      <c r="BX204" s="1708"/>
      <c r="BY204" s="1708"/>
      <c r="BZ204" s="1708"/>
      <c r="CA204" s="1708"/>
      <c r="CB204" s="1708"/>
      <c r="CC204" s="1708"/>
      <c r="CD204" s="1708"/>
      <c r="CE204" s="1708"/>
      <c r="CF204" s="1708"/>
      <c r="CG204" s="1708"/>
      <c r="CH204" s="1708"/>
      <c r="CI204" s="1708"/>
      <c r="CJ204" s="1708"/>
      <c r="CK204" s="1708"/>
      <c r="CL204" s="1708"/>
      <c r="CM204" s="1708"/>
      <c r="CN204" s="1708"/>
      <c r="CO204" s="1708"/>
      <c r="CP204" s="1708"/>
      <c r="CQ204" s="1708"/>
      <c r="CR204" s="1708"/>
      <c r="CS204" s="1708"/>
      <c r="CT204" s="1708"/>
      <c r="CU204" s="1708"/>
      <c r="CV204" s="1708"/>
      <c r="CW204" s="1708"/>
      <c r="CX204" s="1708"/>
      <c r="CY204" s="1708"/>
      <c r="CZ204" s="1708"/>
      <c r="DA204" s="1708"/>
      <c r="DB204" s="1708"/>
      <c r="DC204" s="1708"/>
      <c r="DD204" s="1708"/>
      <c r="DE204" s="1708"/>
      <c r="DF204" s="1708"/>
      <c r="DG204" s="1708"/>
      <c r="DH204" s="1708"/>
      <c r="DI204" s="1708"/>
      <c r="DJ204" s="1708"/>
      <c r="DK204" s="1708"/>
      <c r="DL204" s="1708"/>
      <c r="DM204" s="1708"/>
      <c r="DN204" s="1708"/>
      <c r="DO204" s="1708"/>
      <c r="DP204" s="1708"/>
      <c r="DQ204" s="1708"/>
      <c r="DR204" s="1708"/>
      <c r="DS204" s="1708"/>
      <c r="DT204" s="1708"/>
      <c r="DU204" s="1708"/>
      <c r="DV204" s="1708"/>
      <c r="DW204" s="1708"/>
      <c r="DX204" s="1708"/>
      <c r="DY204" s="1708"/>
      <c r="DZ204" s="1708"/>
      <c r="EA204" s="1708"/>
      <c r="EB204" s="1708"/>
      <c r="EC204" s="1708"/>
      <c r="ED204" s="1708"/>
      <c r="EE204" s="1708"/>
      <c r="EF204" s="1708"/>
      <c r="EG204" s="1708"/>
      <c r="EH204" s="1708"/>
      <c r="EI204" s="1708"/>
      <c r="EJ204" s="1708"/>
      <c r="EK204" s="1708"/>
      <c r="EL204" s="1708"/>
      <c r="EM204" s="1708"/>
      <c r="EN204" s="1708"/>
      <c r="EO204" s="1708"/>
      <c r="EP204" s="1708"/>
      <c r="EQ204" s="1708"/>
      <c r="ER204" s="1708"/>
      <c r="ES204" s="1708"/>
      <c r="ET204" s="1708"/>
      <c r="EU204" s="1708"/>
      <c r="EV204" s="1708"/>
      <c r="EW204" s="1708"/>
      <c r="EX204" s="1708"/>
      <c r="EY204" s="1708"/>
      <c r="EZ204" s="1708"/>
      <c r="FA204" s="1708"/>
      <c r="FB204" s="1708"/>
      <c r="FC204" s="1708"/>
      <c r="FD204" s="1708"/>
      <c r="FE204" s="1708"/>
      <c r="FF204" s="1708"/>
      <c r="FG204" s="1708"/>
      <c r="FH204" s="1708"/>
      <c r="FI204" s="1708"/>
      <c r="FJ204" s="1708"/>
      <c r="FK204" s="1708"/>
      <c r="FL204" s="1708"/>
      <c r="FM204" s="1708"/>
      <c r="FN204" s="1708"/>
      <c r="FO204" s="1708"/>
      <c r="FP204" s="1708"/>
      <c r="FQ204" s="1708"/>
      <c r="FR204" s="1708"/>
      <c r="FS204" s="1708"/>
      <c r="FT204" s="1708"/>
      <c r="FU204" s="1708"/>
      <c r="FV204" s="1708"/>
      <c r="FW204" s="1708"/>
      <c r="FX204" s="1708"/>
      <c r="FY204" s="1708"/>
      <c r="FZ204" s="1708"/>
      <c r="GA204" s="1708"/>
      <c r="GB204" s="1708"/>
      <c r="GC204" s="1708"/>
      <c r="GD204" s="1708"/>
      <c r="GE204" s="1708"/>
      <c r="GF204" s="1708"/>
      <c r="GG204" s="1708"/>
      <c r="GH204" s="1708"/>
      <c r="GI204" s="1708"/>
      <c r="GJ204" s="1708"/>
      <c r="GK204" s="1708"/>
      <c r="GL204" s="1708"/>
      <c r="GM204" s="1708"/>
      <c r="GN204" s="1708"/>
      <c r="GO204" s="1708"/>
      <c r="GP204" s="1708"/>
      <c r="GQ204" s="1708"/>
      <c r="GR204" s="1708"/>
      <c r="GS204" s="1708"/>
      <c r="GT204" s="1708"/>
      <c r="GU204" s="1708"/>
      <c r="GV204" s="1708"/>
      <c r="GW204" s="1708"/>
      <c r="GX204" s="1708"/>
      <c r="GY204" s="1708"/>
      <c r="GZ204" s="1708"/>
      <c r="HA204" s="1708"/>
      <c r="HB204" s="1708"/>
      <c r="HC204" s="1708"/>
      <c r="HD204" s="1708"/>
      <c r="HE204" s="1708"/>
      <c r="HF204" s="1708"/>
      <c r="HG204" s="1708"/>
      <c r="HH204" s="1708"/>
      <c r="HI204" s="1708"/>
      <c r="HJ204" s="1708"/>
      <c r="HK204" s="1708"/>
      <c r="HL204" s="1708"/>
      <c r="HM204" s="1708"/>
      <c r="HN204" s="1708"/>
      <c r="HO204" s="1708"/>
      <c r="HP204" s="1708"/>
      <c r="HQ204" s="1708"/>
      <c r="HR204" s="1708"/>
      <c r="HS204" s="1708"/>
      <c r="HT204" s="1708"/>
      <c r="HU204" s="1708"/>
      <c r="HV204" s="1708"/>
      <c r="HW204" s="1708"/>
      <c r="HX204" s="1708"/>
      <c r="HY204" s="1708"/>
      <c r="HZ204" s="1708"/>
      <c r="IA204" s="1708"/>
      <c r="IB204" s="1708"/>
      <c r="IC204" s="1708"/>
      <c r="ID204" s="1708"/>
      <c r="IE204" s="1708"/>
      <c r="IF204" s="1708"/>
      <c r="IG204" s="1708"/>
      <c r="IH204" s="1708"/>
      <c r="II204" s="1708"/>
      <c r="IJ204" s="1708"/>
      <c r="IK204" s="1708"/>
      <c r="IL204" s="1708"/>
      <c r="IM204" s="1708"/>
      <c r="IN204" s="1708"/>
      <c r="IO204" s="1708"/>
      <c r="IP204" s="1708"/>
      <c r="IQ204" s="1708"/>
      <c r="IR204" s="1708"/>
      <c r="IS204" s="1708"/>
      <c r="IT204" s="1708"/>
      <c r="IU204" s="1708"/>
      <c r="IV204" s="1708"/>
    </row>
    <row r="205" spans="2:256" s="57" customFormat="1" x14ac:dyDescent="0.25">
      <c r="B205" s="1836"/>
      <c r="G205" s="1849"/>
      <c r="J205" s="1850"/>
      <c r="K205" s="1850"/>
      <c r="S205" s="1708"/>
      <c r="T205" s="1708"/>
      <c r="U205" s="1708"/>
      <c r="V205" s="1708"/>
      <c r="W205" s="1708"/>
      <c r="X205" s="1708"/>
      <c r="Y205" s="1708"/>
      <c r="Z205" s="1708"/>
      <c r="AA205" s="1708"/>
      <c r="AB205" s="1708"/>
      <c r="AC205" s="1708"/>
      <c r="AD205" s="1708"/>
      <c r="AE205" s="1708"/>
      <c r="AF205" s="1708"/>
      <c r="AG205" s="1708"/>
      <c r="AH205" s="1708"/>
      <c r="AI205" s="1708"/>
      <c r="AJ205" s="1708"/>
      <c r="AK205" s="1708"/>
      <c r="AL205" s="1708"/>
      <c r="AM205" s="1708"/>
      <c r="AN205" s="1708"/>
      <c r="AO205" s="1708"/>
      <c r="AP205" s="1708"/>
      <c r="AQ205" s="1708"/>
      <c r="AR205" s="1708"/>
      <c r="AS205" s="1708"/>
      <c r="AT205" s="1708"/>
      <c r="AU205" s="1708"/>
      <c r="AV205" s="1708"/>
      <c r="AW205" s="1708"/>
      <c r="AX205" s="1708"/>
      <c r="AY205" s="1708"/>
      <c r="AZ205" s="1708"/>
      <c r="BA205" s="1708"/>
      <c r="BB205" s="1708"/>
      <c r="BC205" s="1708"/>
      <c r="BD205" s="1708"/>
      <c r="BE205" s="1708"/>
      <c r="BF205" s="1708"/>
      <c r="BG205" s="1708"/>
      <c r="BH205" s="1708"/>
      <c r="BI205" s="1708"/>
      <c r="BJ205" s="1708"/>
      <c r="BK205" s="1708"/>
      <c r="BL205" s="1708"/>
      <c r="BM205" s="1708"/>
      <c r="BN205" s="1708"/>
      <c r="BO205" s="1708"/>
      <c r="BP205" s="1708"/>
      <c r="BQ205" s="1708"/>
      <c r="BR205" s="1708"/>
      <c r="BS205" s="1708"/>
      <c r="BT205" s="1708"/>
      <c r="BU205" s="1708"/>
      <c r="BV205" s="1708"/>
      <c r="BW205" s="1708"/>
      <c r="BX205" s="1708"/>
      <c r="BY205" s="1708"/>
      <c r="BZ205" s="1708"/>
      <c r="CA205" s="1708"/>
      <c r="CB205" s="1708"/>
      <c r="CC205" s="1708"/>
      <c r="CD205" s="1708"/>
      <c r="CE205" s="1708"/>
      <c r="CF205" s="1708"/>
      <c r="CG205" s="1708"/>
      <c r="CH205" s="1708"/>
      <c r="CI205" s="1708"/>
      <c r="CJ205" s="1708"/>
      <c r="CK205" s="1708"/>
      <c r="CL205" s="1708"/>
      <c r="CM205" s="1708"/>
      <c r="CN205" s="1708"/>
      <c r="CO205" s="1708"/>
      <c r="CP205" s="1708"/>
      <c r="CQ205" s="1708"/>
      <c r="CR205" s="1708"/>
      <c r="CS205" s="1708"/>
      <c r="CT205" s="1708"/>
      <c r="CU205" s="1708"/>
      <c r="CV205" s="1708"/>
      <c r="CW205" s="1708"/>
      <c r="CX205" s="1708"/>
      <c r="CY205" s="1708"/>
      <c r="CZ205" s="1708"/>
      <c r="DA205" s="1708"/>
      <c r="DB205" s="1708"/>
      <c r="DC205" s="1708"/>
      <c r="DD205" s="1708"/>
      <c r="DE205" s="1708"/>
      <c r="DF205" s="1708"/>
      <c r="DG205" s="1708"/>
      <c r="DH205" s="1708"/>
      <c r="DI205" s="1708"/>
      <c r="DJ205" s="1708"/>
      <c r="DK205" s="1708"/>
      <c r="DL205" s="1708"/>
      <c r="DM205" s="1708"/>
      <c r="DN205" s="1708"/>
      <c r="DO205" s="1708"/>
      <c r="DP205" s="1708"/>
      <c r="DQ205" s="1708"/>
      <c r="DR205" s="1708"/>
      <c r="DS205" s="1708"/>
      <c r="DT205" s="1708"/>
      <c r="DU205" s="1708"/>
      <c r="DV205" s="1708"/>
      <c r="DW205" s="1708"/>
      <c r="DX205" s="1708"/>
      <c r="DY205" s="1708"/>
      <c r="DZ205" s="1708"/>
      <c r="EA205" s="1708"/>
      <c r="EB205" s="1708"/>
      <c r="EC205" s="1708"/>
      <c r="ED205" s="1708"/>
      <c r="EE205" s="1708"/>
      <c r="EF205" s="1708"/>
      <c r="EG205" s="1708"/>
      <c r="EH205" s="1708"/>
      <c r="EI205" s="1708"/>
      <c r="EJ205" s="1708"/>
      <c r="EK205" s="1708"/>
      <c r="EL205" s="1708"/>
      <c r="EM205" s="1708"/>
      <c r="EN205" s="1708"/>
      <c r="EO205" s="1708"/>
      <c r="EP205" s="1708"/>
      <c r="EQ205" s="1708"/>
      <c r="ER205" s="1708"/>
      <c r="ES205" s="1708"/>
      <c r="ET205" s="1708"/>
      <c r="EU205" s="1708"/>
      <c r="EV205" s="1708"/>
      <c r="EW205" s="1708"/>
      <c r="EX205" s="1708"/>
      <c r="EY205" s="1708"/>
      <c r="EZ205" s="1708"/>
      <c r="FA205" s="1708"/>
      <c r="FB205" s="1708"/>
      <c r="FC205" s="1708"/>
      <c r="FD205" s="1708"/>
      <c r="FE205" s="1708"/>
      <c r="FF205" s="1708"/>
      <c r="FG205" s="1708"/>
      <c r="FH205" s="1708"/>
      <c r="FI205" s="1708"/>
      <c r="FJ205" s="1708"/>
      <c r="FK205" s="1708"/>
      <c r="FL205" s="1708"/>
      <c r="FM205" s="1708"/>
      <c r="FN205" s="1708"/>
      <c r="FO205" s="1708"/>
      <c r="FP205" s="1708"/>
      <c r="FQ205" s="1708"/>
      <c r="FR205" s="1708"/>
      <c r="FS205" s="1708"/>
      <c r="FT205" s="1708"/>
      <c r="FU205" s="1708"/>
      <c r="FV205" s="1708"/>
      <c r="FW205" s="1708"/>
      <c r="FX205" s="1708"/>
      <c r="FY205" s="1708"/>
      <c r="FZ205" s="1708"/>
      <c r="GA205" s="1708"/>
      <c r="GB205" s="1708"/>
      <c r="GC205" s="1708"/>
      <c r="GD205" s="1708"/>
      <c r="GE205" s="1708"/>
      <c r="GF205" s="1708"/>
      <c r="GG205" s="1708"/>
      <c r="GH205" s="1708"/>
      <c r="GI205" s="1708"/>
      <c r="GJ205" s="1708"/>
      <c r="GK205" s="1708"/>
      <c r="GL205" s="1708"/>
      <c r="GM205" s="1708"/>
      <c r="GN205" s="1708"/>
      <c r="GO205" s="1708"/>
      <c r="GP205" s="1708"/>
      <c r="GQ205" s="1708"/>
      <c r="GR205" s="1708"/>
      <c r="GS205" s="1708"/>
      <c r="GT205" s="1708"/>
      <c r="GU205" s="1708"/>
      <c r="GV205" s="1708"/>
      <c r="GW205" s="1708"/>
      <c r="GX205" s="1708"/>
      <c r="GY205" s="1708"/>
      <c r="GZ205" s="1708"/>
      <c r="HA205" s="1708"/>
      <c r="HB205" s="1708"/>
      <c r="HC205" s="1708"/>
      <c r="HD205" s="1708"/>
      <c r="HE205" s="1708"/>
      <c r="HF205" s="1708"/>
      <c r="HG205" s="1708"/>
      <c r="HH205" s="1708"/>
      <c r="HI205" s="1708"/>
      <c r="HJ205" s="1708"/>
      <c r="HK205" s="1708"/>
      <c r="HL205" s="1708"/>
      <c r="HM205" s="1708"/>
      <c r="HN205" s="1708"/>
      <c r="HO205" s="1708"/>
      <c r="HP205" s="1708"/>
      <c r="HQ205" s="1708"/>
      <c r="HR205" s="1708"/>
      <c r="HS205" s="1708"/>
      <c r="HT205" s="1708"/>
      <c r="HU205" s="1708"/>
      <c r="HV205" s="1708"/>
      <c r="HW205" s="1708"/>
      <c r="HX205" s="1708"/>
      <c r="HY205" s="1708"/>
      <c r="HZ205" s="1708"/>
      <c r="IA205" s="1708"/>
      <c r="IB205" s="1708"/>
      <c r="IC205" s="1708"/>
      <c r="ID205" s="1708"/>
      <c r="IE205" s="1708"/>
      <c r="IF205" s="1708"/>
      <c r="IG205" s="1708"/>
      <c r="IH205" s="1708"/>
      <c r="II205" s="1708"/>
      <c r="IJ205" s="1708"/>
      <c r="IK205" s="1708"/>
      <c r="IL205" s="1708"/>
      <c r="IM205" s="1708"/>
      <c r="IN205" s="1708"/>
      <c r="IO205" s="1708"/>
      <c r="IP205" s="1708"/>
      <c r="IQ205" s="1708"/>
      <c r="IR205" s="1708"/>
      <c r="IS205" s="1708"/>
      <c r="IT205" s="1708"/>
      <c r="IU205" s="1708"/>
      <c r="IV205" s="1708"/>
    </row>
    <row r="206" spans="2:256" s="57" customFormat="1" x14ac:dyDescent="0.25">
      <c r="B206" s="1836"/>
      <c r="G206" s="1849"/>
      <c r="J206" s="1850"/>
      <c r="K206" s="1850"/>
      <c r="S206" s="1708"/>
      <c r="T206" s="1708"/>
      <c r="U206" s="1708"/>
      <c r="V206" s="1708"/>
      <c r="W206" s="1708"/>
      <c r="X206" s="1708"/>
      <c r="Y206" s="1708"/>
      <c r="Z206" s="1708"/>
      <c r="AA206" s="1708"/>
      <c r="AB206" s="1708"/>
      <c r="AC206" s="1708"/>
      <c r="AD206" s="1708"/>
      <c r="AE206" s="1708"/>
      <c r="AF206" s="1708"/>
      <c r="AG206" s="1708"/>
      <c r="AH206" s="1708"/>
      <c r="AI206" s="1708"/>
      <c r="AJ206" s="1708"/>
      <c r="AK206" s="1708"/>
      <c r="AL206" s="1708"/>
      <c r="AM206" s="1708"/>
      <c r="AN206" s="1708"/>
      <c r="AO206" s="1708"/>
      <c r="AP206" s="1708"/>
      <c r="AQ206" s="1708"/>
      <c r="AR206" s="1708"/>
      <c r="AS206" s="1708"/>
      <c r="AT206" s="1708"/>
      <c r="AU206" s="1708"/>
      <c r="AV206" s="1708"/>
      <c r="AW206" s="1708"/>
      <c r="AX206" s="1708"/>
      <c r="AY206" s="1708"/>
      <c r="AZ206" s="1708"/>
      <c r="BA206" s="1708"/>
      <c r="BB206" s="1708"/>
      <c r="BC206" s="1708"/>
      <c r="BD206" s="1708"/>
      <c r="BE206" s="1708"/>
      <c r="BF206" s="1708"/>
      <c r="BG206" s="1708"/>
      <c r="BH206" s="1708"/>
      <c r="BI206" s="1708"/>
      <c r="BJ206" s="1708"/>
      <c r="BK206" s="1708"/>
      <c r="BL206" s="1708"/>
      <c r="BM206" s="1708"/>
      <c r="BN206" s="1708"/>
      <c r="BO206" s="1708"/>
      <c r="BP206" s="1708"/>
      <c r="BQ206" s="1708"/>
      <c r="BR206" s="1708"/>
      <c r="BS206" s="1708"/>
      <c r="BT206" s="1708"/>
      <c r="BU206" s="1708"/>
      <c r="BV206" s="1708"/>
      <c r="BW206" s="1708"/>
      <c r="BX206" s="1708"/>
      <c r="BY206" s="1708"/>
      <c r="BZ206" s="1708"/>
      <c r="CA206" s="1708"/>
      <c r="CB206" s="1708"/>
      <c r="CC206" s="1708"/>
      <c r="CD206" s="1708"/>
      <c r="CE206" s="1708"/>
      <c r="CF206" s="1708"/>
      <c r="CG206" s="1708"/>
      <c r="CH206" s="1708"/>
      <c r="CI206" s="1708"/>
      <c r="CJ206" s="1708"/>
      <c r="CK206" s="1708"/>
      <c r="CL206" s="1708"/>
      <c r="CM206" s="1708"/>
      <c r="CN206" s="1708"/>
      <c r="CO206" s="1708"/>
      <c r="CP206" s="1708"/>
      <c r="CQ206" s="1708"/>
      <c r="CR206" s="1708"/>
      <c r="CS206" s="1708"/>
      <c r="CT206" s="1708"/>
      <c r="CU206" s="1708"/>
      <c r="CV206" s="1708"/>
      <c r="CW206" s="1708"/>
      <c r="CX206" s="1708"/>
      <c r="CY206" s="1708"/>
      <c r="CZ206" s="1708"/>
      <c r="DA206" s="1708"/>
      <c r="DB206" s="1708"/>
      <c r="DC206" s="1708"/>
      <c r="DD206" s="1708"/>
      <c r="DE206" s="1708"/>
      <c r="DF206" s="1708"/>
      <c r="DG206" s="1708"/>
      <c r="DH206" s="1708"/>
      <c r="DI206" s="1708"/>
      <c r="DJ206" s="1708"/>
      <c r="DK206" s="1708"/>
      <c r="DL206" s="1708"/>
      <c r="DM206" s="1708"/>
      <c r="DN206" s="1708"/>
      <c r="DO206" s="1708"/>
      <c r="DP206" s="1708"/>
      <c r="DQ206" s="1708"/>
      <c r="DR206" s="1708"/>
      <c r="DS206" s="1708"/>
      <c r="DT206" s="1708"/>
      <c r="DU206" s="1708"/>
      <c r="DV206" s="1708"/>
      <c r="DW206" s="1708"/>
      <c r="DX206" s="1708"/>
      <c r="DY206" s="1708"/>
      <c r="DZ206" s="1708"/>
      <c r="EA206" s="1708"/>
      <c r="EB206" s="1708"/>
      <c r="EC206" s="1708"/>
      <c r="ED206" s="1708"/>
      <c r="EE206" s="1708"/>
      <c r="EF206" s="1708"/>
      <c r="EG206" s="1708"/>
      <c r="EH206" s="1708"/>
      <c r="EI206" s="1708"/>
      <c r="EJ206" s="1708"/>
      <c r="EK206" s="1708"/>
      <c r="EL206" s="1708"/>
      <c r="EM206" s="1708"/>
      <c r="EN206" s="1708"/>
      <c r="EO206" s="1708"/>
      <c r="EP206" s="1708"/>
      <c r="EQ206" s="1708"/>
      <c r="ER206" s="1708"/>
      <c r="ES206" s="1708"/>
      <c r="ET206" s="1708"/>
      <c r="EU206" s="1708"/>
      <c r="EV206" s="1708"/>
      <c r="EW206" s="1708"/>
      <c r="EX206" s="1708"/>
      <c r="EY206" s="1708"/>
      <c r="EZ206" s="1708"/>
      <c r="FA206" s="1708"/>
      <c r="FB206" s="1708"/>
      <c r="FC206" s="1708"/>
      <c r="FD206" s="1708"/>
      <c r="FE206" s="1708"/>
      <c r="FF206" s="1708"/>
      <c r="FG206" s="1708"/>
      <c r="FH206" s="1708"/>
      <c r="FI206" s="1708"/>
      <c r="FJ206" s="1708"/>
      <c r="FK206" s="1708"/>
      <c r="FL206" s="1708"/>
      <c r="FM206" s="1708"/>
      <c r="FN206" s="1708"/>
      <c r="FO206" s="1708"/>
      <c r="FP206" s="1708"/>
      <c r="FQ206" s="1708"/>
      <c r="FR206" s="1708"/>
      <c r="FS206" s="1708"/>
      <c r="FT206" s="1708"/>
      <c r="FU206" s="1708"/>
      <c r="FV206" s="1708"/>
      <c r="FW206" s="1708"/>
      <c r="FX206" s="1708"/>
      <c r="FY206" s="1708"/>
      <c r="FZ206" s="1708"/>
      <c r="GA206" s="1708"/>
      <c r="GB206" s="1708"/>
      <c r="GC206" s="1708"/>
      <c r="GD206" s="1708"/>
      <c r="GE206" s="1708"/>
      <c r="GF206" s="1708"/>
      <c r="GG206" s="1708"/>
      <c r="GH206" s="1708"/>
      <c r="GI206" s="1708"/>
      <c r="GJ206" s="1708"/>
      <c r="GK206" s="1708"/>
      <c r="GL206" s="1708"/>
      <c r="GM206" s="1708"/>
      <c r="GN206" s="1708"/>
      <c r="GO206" s="1708"/>
      <c r="GP206" s="1708"/>
      <c r="GQ206" s="1708"/>
      <c r="GR206" s="1708"/>
      <c r="GS206" s="1708"/>
      <c r="GT206" s="1708"/>
      <c r="GU206" s="1708"/>
      <c r="GV206" s="1708"/>
      <c r="GW206" s="1708"/>
      <c r="GX206" s="1708"/>
      <c r="GY206" s="1708"/>
      <c r="GZ206" s="1708"/>
      <c r="HA206" s="1708"/>
      <c r="HB206" s="1708"/>
      <c r="HC206" s="1708"/>
      <c r="HD206" s="1708"/>
      <c r="HE206" s="1708"/>
      <c r="HF206" s="1708"/>
      <c r="HG206" s="1708"/>
      <c r="HH206" s="1708"/>
      <c r="HI206" s="1708"/>
      <c r="HJ206" s="1708"/>
      <c r="HK206" s="1708"/>
      <c r="HL206" s="1708"/>
      <c r="HM206" s="1708"/>
      <c r="HN206" s="1708"/>
      <c r="HO206" s="1708"/>
      <c r="HP206" s="1708"/>
      <c r="HQ206" s="1708"/>
      <c r="HR206" s="1708"/>
      <c r="HS206" s="1708"/>
      <c r="HT206" s="1708"/>
      <c r="HU206" s="1708"/>
      <c r="HV206" s="1708"/>
      <c r="HW206" s="1708"/>
      <c r="HX206" s="1708"/>
      <c r="HY206" s="1708"/>
      <c r="HZ206" s="1708"/>
      <c r="IA206" s="1708"/>
      <c r="IB206" s="1708"/>
      <c r="IC206" s="1708"/>
      <c r="ID206" s="1708"/>
      <c r="IE206" s="1708"/>
      <c r="IF206" s="1708"/>
      <c r="IG206" s="1708"/>
      <c r="IH206" s="1708"/>
      <c r="II206" s="1708"/>
      <c r="IJ206" s="1708"/>
      <c r="IK206" s="1708"/>
      <c r="IL206" s="1708"/>
      <c r="IM206" s="1708"/>
      <c r="IN206" s="1708"/>
      <c r="IO206" s="1708"/>
      <c r="IP206" s="1708"/>
      <c r="IQ206" s="1708"/>
      <c r="IR206" s="1708"/>
      <c r="IS206" s="1708"/>
      <c r="IT206" s="1708"/>
      <c r="IU206" s="1708"/>
      <c r="IV206" s="1708"/>
    </row>
    <row r="207" spans="2:256" s="57" customFormat="1" x14ac:dyDescent="0.25">
      <c r="B207" s="1836"/>
      <c r="G207" s="1849"/>
      <c r="J207" s="1850"/>
      <c r="K207" s="1850"/>
      <c r="S207" s="1708"/>
      <c r="T207" s="1708"/>
      <c r="U207" s="1708"/>
      <c r="V207" s="1708"/>
      <c r="W207" s="1708"/>
      <c r="X207" s="1708"/>
      <c r="Y207" s="1708"/>
      <c r="Z207" s="1708"/>
      <c r="AA207" s="1708"/>
      <c r="AB207" s="1708"/>
      <c r="AC207" s="1708"/>
      <c r="AD207" s="1708"/>
      <c r="AE207" s="1708"/>
      <c r="AF207" s="1708"/>
      <c r="AG207" s="1708"/>
      <c r="AH207" s="1708"/>
      <c r="AI207" s="1708"/>
      <c r="AJ207" s="1708"/>
      <c r="AK207" s="1708"/>
      <c r="AL207" s="1708"/>
      <c r="AM207" s="1708"/>
      <c r="AN207" s="1708"/>
      <c r="AO207" s="1708"/>
      <c r="AP207" s="1708"/>
      <c r="AQ207" s="1708"/>
      <c r="AR207" s="1708"/>
      <c r="AS207" s="1708"/>
      <c r="AT207" s="1708"/>
      <c r="AU207" s="1708"/>
      <c r="AV207" s="1708"/>
      <c r="AW207" s="1708"/>
      <c r="AX207" s="1708"/>
      <c r="AY207" s="1708"/>
      <c r="AZ207" s="1708"/>
      <c r="BA207" s="1708"/>
      <c r="BB207" s="1708"/>
      <c r="BC207" s="1708"/>
      <c r="BD207" s="1708"/>
      <c r="BE207" s="1708"/>
      <c r="BF207" s="1708"/>
      <c r="BG207" s="1708"/>
      <c r="BH207" s="1708"/>
      <c r="BI207" s="1708"/>
      <c r="BJ207" s="1708"/>
      <c r="BK207" s="1708"/>
      <c r="BL207" s="1708"/>
      <c r="BM207" s="1708"/>
      <c r="BN207" s="1708"/>
      <c r="BO207" s="1708"/>
      <c r="BP207" s="1708"/>
      <c r="BQ207" s="1708"/>
      <c r="BR207" s="1708"/>
      <c r="BS207" s="1708"/>
      <c r="BT207" s="1708"/>
      <c r="BU207" s="1708"/>
      <c r="BV207" s="1708"/>
      <c r="BW207" s="1708"/>
      <c r="BX207" s="1708"/>
      <c r="BY207" s="1708"/>
      <c r="BZ207" s="1708"/>
      <c r="CA207" s="1708"/>
      <c r="CB207" s="1708"/>
      <c r="CC207" s="1708"/>
      <c r="CD207" s="1708"/>
      <c r="CE207" s="1708"/>
      <c r="CF207" s="1708"/>
      <c r="CG207" s="1708"/>
      <c r="CH207" s="1708"/>
      <c r="CI207" s="1708"/>
      <c r="CJ207" s="1708"/>
      <c r="CK207" s="1708"/>
      <c r="CL207" s="1708"/>
      <c r="CM207" s="1708"/>
      <c r="CN207" s="1708"/>
      <c r="CO207" s="1708"/>
      <c r="CP207" s="1708"/>
      <c r="CQ207" s="1708"/>
      <c r="CR207" s="1708"/>
      <c r="CS207" s="1708"/>
      <c r="CT207" s="1708"/>
      <c r="CU207" s="1708"/>
      <c r="CV207" s="1708"/>
      <c r="CW207" s="1708"/>
      <c r="CX207" s="1708"/>
      <c r="CY207" s="1708"/>
      <c r="CZ207" s="1708"/>
      <c r="DA207" s="1708"/>
      <c r="DB207" s="1708"/>
      <c r="DC207" s="1708"/>
      <c r="DD207" s="1708"/>
      <c r="DE207" s="1708"/>
      <c r="DF207" s="1708"/>
      <c r="DG207" s="1708"/>
      <c r="DH207" s="1708"/>
      <c r="DI207" s="1708"/>
      <c r="DJ207" s="1708"/>
      <c r="DK207" s="1708"/>
      <c r="DL207" s="1708"/>
      <c r="DM207" s="1708"/>
      <c r="DN207" s="1708"/>
      <c r="DO207" s="1708"/>
      <c r="DP207" s="1708"/>
      <c r="DQ207" s="1708"/>
      <c r="DR207" s="1708"/>
      <c r="DS207" s="1708"/>
      <c r="DT207" s="1708"/>
      <c r="DU207" s="1708"/>
      <c r="DV207" s="1708"/>
      <c r="DW207" s="1708"/>
      <c r="DX207" s="1708"/>
      <c r="DY207" s="1708"/>
      <c r="DZ207" s="1708"/>
      <c r="EA207" s="1708"/>
      <c r="EB207" s="1708"/>
      <c r="EC207" s="1708"/>
      <c r="ED207" s="1708"/>
      <c r="EE207" s="1708"/>
      <c r="EF207" s="1708"/>
      <c r="EG207" s="1708"/>
      <c r="EH207" s="1708"/>
      <c r="EI207" s="1708"/>
      <c r="EJ207" s="1708"/>
      <c r="EK207" s="1708"/>
      <c r="EL207" s="1708"/>
      <c r="EM207" s="1708"/>
      <c r="EN207" s="1708"/>
      <c r="EO207" s="1708"/>
      <c r="EP207" s="1708"/>
      <c r="EQ207" s="1708"/>
      <c r="ER207" s="1708"/>
      <c r="ES207" s="1708"/>
      <c r="ET207" s="1708"/>
      <c r="EU207" s="1708"/>
      <c r="EV207" s="1708"/>
      <c r="EW207" s="1708"/>
      <c r="EX207" s="1708"/>
      <c r="EY207" s="1708"/>
      <c r="EZ207" s="1708"/>
      <c r="FA207" s="1708"/>
      <c r="FB207" s="1708"/>
      <c r="FC207" s="1708"/>
      <c r="FD207" s="1708"/>
      <c r="FE207" s="1708"/>
      <c r="FF207" s="1708"/>
      <c r="FG207" s="1708"/>
      <c r="FH207" s="1708"/>
      <c r="FI207" s="1708"/>
      <c r="FJ207" s="1708"/>
      <c r="FK207" s="1708"/>
      <c r="FL207" s="1708"/>
      <c r="FM207" s="1708"/>
      <c r="FN207" s="1708"/>
      <c r="FO207" s="1708"/>
      <c r="FP207" s="1708"/>
      <c r="FQ207" s="1708"/>
      <c r="FR207" s="1708"/>
      <c r="FS207" s="1708"/>
      <c r="FT207" s="1708"/>
      <c r="FU207" s="1708"/>
      <c r="FV207" s="1708"/>
      <c r="FW207" s="1708"/>
      <c r="FX207" s="1708"/>
      <c r="FY207" s="1708"/>
      <c r="FZ207" s="1708"/>
      <c r="GA207" s="1708"/>
      <c r="GB207" s="1708"/>
      <c r="GC207" s="1708"/>
      <c r="GD207" s="1708"/>
      <c r="GE207" s="1708"/>
      <c r="GF207" s="1708"/>
      <c r="GG207" s="1708"/>
      <c r="GH207" s="1708"/>
      <c r="GI207" s="1708"/>
      <c r="GJ207" s="1708"/>
      <c r="GK207" s="1708"/>
      <c r="GL207" s="1708"/>
      <c r="GM207" s="1708"/>
      <c r="GN207" s="1708"/>
      <c r="GO207" s="1708"/>
      <c r="GP207" s="1708"/>
      <c r="GQ207" s="1708"/>
      <c r="GR207" s="1708"/>
      <c r="GS207" s="1708"/>
      <c r="GT207" s="1708"/>
      <c r="GU207" s="1708"/>
      <c r="GV207" s="1708"/>
      <c r="GW207" s="1708"/>
      <c r="GX207" s="1708"/>
      <c r="GY207" s="1708"/>
      <c r="GZ207" s="1708"/>
      <c r="HA207" s="1708"/>
      <c r="HB207" s="1708"/>
      <c r="HC207" s="1708"/>
      <c r="HD207" s="1708"/>
      <c r="HE207" s="1708"/>
      <c r="HF207" s="1708"/>
      <c r="HG207" s="1708"/>
      <c r="HH207" s="1708"/>
      <c r="HI207" s="1708"/>
      <c r="HJ207" s="1708"/>
      <c r="HK207" s="1708"/>
      <c r="HL207" s="1708"/>
      <c r="HM207" s="1708"/>
      <c r="HN207" s="1708"/>
      <c r="HO207" s="1708"/>
      <c r="HP207" s="1708"/>
      <c r="HQ207" s="1708"/>
      <c r="HR207" s="1708"/>
      <c r="HS207" s="1708"/>
      <c r="HT207" s="1708"/>
      <c r="HU207" s="1708"/>
      <c r="HV207" s="1708"/>
      <c r="HW207" s="1708"/>
      <c r="HX207" s="1708"/>
      <c r="HY207" s="1708"/>
      <c r="HZ207" s="1708"/>
      <c r="IA207" s="1708"/>
      <c r="IB207" s="1708"/>
      <c r="IC207" s="1708"/>
      <c r="ID207" s="1708"/>
      <c r="IE207" s="1708"/>
      <c r="IF207" s="1708"/>
      <c r="IG207" s="1708"/>
      <c r="IH207" s="1708"/>
      <c r="II207" s="1708"/>
      <c r="IJ207" s="1708"/>
      <c r="IK207" s="1708"/>
      <c r="IL207" s="1708"/>
      <c r="IM207" s="1708"/>
      <c r="IN207" s="1708"/>
      <c r="IO207" s="1708"/>
      <c r="IP207" s="1708"/>
      <c r="IQ207" s="1708"/>
      <c r="IR207" s="1708"/>
      <c r="IS207" s="1708"/>
      <c r="IT207" s="1708"/>
      <c r="IU207" s="1708"/>
      <c r="IV207" s="1708"/>
    </row>
    <row r="208" spans="2:256" s="57" customFormat="1" x14ac:dyDescent="0.25">
      <c r="B208" s="1836"/>
      <c r="G208" s="1849"/>
      <c r="J208" s="1850"/>
      <c r="K208" s="1850"/>
      <c r="S208" s="1708"/>
      <c r="T208" s="1708"/>
      <c r="U208" s="1708"/>
      <c r="V208" s="1708"/>
      <c r="W208" s="1708"/>
      <c r="X208" s="1708"/>
      <c r="Y208" s="1708"/>
      <c r="Z208" s="1708"/>
      <c r="AA208" s="1708"/>
      <c r="AB208" s="1708"/>
      <c r="AC208" s="1708"/>
      <c r="AD208" s="1708"/>
      <c r="AE208" s="1708"/>
      <c r="AF208" s="1708"/>
      <c r="AG208" s="1708"/>
      <c r="AH208" s="1708"/>
      <c r="AI208" s="1708"/>
      <c r="AJ208" s="1708"/>
      <c r="AK208" s="1708"/>
      <c r="AL208" s="1708"/>
      <c r="AM208" s="1708"/>
      <c r="AN208" s="1708"/>
      <c r="AO208" s="1708"/>
      <c r="AP208" s="1708"/>
      <c r="AQ208" s="1708"/>
      <c r="AR208" s="1708"/>
      <c r="AS208" s="1708"/>
      <c r="AT208" s="1708"/>
      <c r="AU208" s="1708"/>
      <c r="AV208" s="1708"/>
      <c r="AW208" s="1708"/>
      <c r="AX208" s="1708"/>
      <c r="AY208" s="1708"/>
      <c r="AZ208" s="1708"/>
      <c r="BA208" s="1708"/>
      <c r="BB208" s="1708"/>
      <c r="BC208" s="1708"/>
      <c r="BD208" s="1708"/>
      <c r="BE208" s="1708"/>
      <c r="BF208" s="1708"/>
      <c r="BG208" s="1708"/>
      <c r="BH208" s="1708"/>
      <c r="BI208" s="1708"/>
      <c r="BJ208" s="1708"/>
      <c r="BK208" s="1708"/>
      <c r="BL208" s="1708"/>
      <c r="BM208" s="1708"/>
      <c r="BN208" s="1708"/>
      <c r="BO208" s="1708"/>
      <c r="BP208" s="1708"/>
      <c r="BQ208" s="1708"/>
      <c r="BR208" s="1708"/>
      <c r="BS208" s="1708"/>
      <c r="BT208" s="1708"/>
      <c r="BU208" s="1708"/>
      <c r="BV208" s="1708"/>
      <c r="BW208" s="1708"/>
      <c r="BX208" s="1708"/>
      <c r="BY208" s="1708"/>
      <c r="BZ208" s="1708"/>
      <c r="CA208" s="1708"/>
      <c r="CB208" s="1708"/>
      <c r="CC208" s="1708"/>
      <c r="CD208" s="1708"/>
      <c r="CE208" s="1708"/>
      <c r="CF208" s="1708"/>
      <c r="CG208" s="1708"/>
      <c r="CH208" s="1708"/>
      <c r="CI208" s="1708"/>
      <c r="CJ208" s="1708"/>
      <c r="CK208" s="1708"/>
      <c r="CL208" s="1708"/>
      <c r="CM208" s="1708"/>
      <c r="CN208" s="1708"/>
      <c r="CO208" s="1708"/>
      <c r="CP208" s="1708"/>
      <c r="CQ208" s="1708"/>
      <c r="CR208" s="1708"/>
      <c r="CS208" s="1708"/>
      <c r="CT208" s="1708"/>
      <c r="CU208" s="1708"/>
      <c r="CV208" s="1708"/>
      <c r="CW208" s="1708"/>
      <c r="CX208" s="1708"/>
      <c r="CY208" s="1708"/>
      <c r="CZ208" s="1708"/>
      <c r="DA208" s="1708"/>
      <c r="DB208" s="1708"/>
      <c r="DC208" s="1708"/>
      <c r="DD208" s="1708"/>
      <c r="DE208" s="1708"/>
      <c r="DF208" s="1708"/>
      <c r="DG208" s="1708"/>
      <c r="DH208" s="1708"/>
      <c r="DI208" s="1708"/>
      <c r="DJ208" s="1708"/>
      <c r="DK208" s="1708"/>
      <c r="DL208" s="1708"/>
      <c r="DM208" s="1708"/>
      <c r="DN208" s="1708"/>
      <c r="DO208" s="1708"/>
      <c r="DP208" s="1708"/>
      <c r="DQ208" s="1708"/>
      <c r="DR208" s="1708"/>
      <c r="DS208" s="1708"/>
      <c r="DT208" s="1708"/>
      <c r="DU208" s="1708"/>
      <c r="DV208" s="1708"/>
      <c r="DW208" s="1708"/>
      <c r="DX208" s="1708"/>
      <c r="DY208" s="1708"/>
      <c r="DZ208" s="1708"/>
      <c r="EA208" s="1708"/>
      <c r="EB208" s="1708"/>
      <c r="EC208" s="1708"/>
      <c r="ED208" s="1708"/>
      <c r="EE208" s="1708"/>
      <c r="EF208" s="1708"/>
      <c r="EG208" s="1708"/>
      <c r="EH208" s="1708"/>
      <c r="EI208" s="1708"/>
      <c r="EJ208" s="1708"/>
      <c r="EK208" s="1708"/>
      <c r="EL208" s="1708"/>
      <c r="EM208" s="1708"/>
      <c r="EN208" s="1708"/>
      <c r="EO208" s="1708"/>
      <c r="EP208" s="1708"/>
      <c r="EQ208" s="1708"/>
      <c r="ER208" s="1708"/>
      <c r="ES208" s="1708"/>
      <c r="ET208" s="1708"/>
      <c r="EU208" s="1708"/>
      <c r="EV208" s="1708"/>
      <c r="EW208" s="1708"/>
      <c r="EX208" s="1708"/>
      <c r="EY208" s="1708"/>
      <c r="EZ208" s="1708"/>
      <c r="FA208" s="1708"/>
      <c r="FB208" s="1708"/>
      <c r="FC208" s="1708"/>
      <c r="FD208" s="1708"/>
      <c r="FE208" s="1708"/>
      <c r="FF208" s="1708"/>
      <c r="FG208" s="1708"/>
      <c r="FH208" s="1708"/>
      <c r="FI208" s="1708"/>
      <c r="FJ208" s="1708"/>
      <c r="FK208" s="1708"/>
      <c r="FL208" s="1708"/>
      <c r="FM208" s="1708"/>
      <c r="FN208" s="1708"/>
      <c r="FO208" s="1708"/>
      <c r="FP208" s="1708"/>
      <c r="FQ208" s="1708"/>
      <c r="FR208" s="1708"/>
      <c r="FS208" s="1708"/>
      <c r="FT208" s="1708"/>
      <c r="FU208" s="1708"/>
      <c r="FV208" s="1708"/>
      <c r="FW208" s="1708"/>
      <c r="FX208" s="1708"/>
      <c r="FY208" s="1708"/>
      <c r="FZ208" s="1708"/>
      <c r="GA208" s="1708"/>
      <c r="GB208" s="1708"/>
      <c r="GC208" s="1708"/>
      <c r="GD208" s="1708"/>
      <c r="GE208" s="1708"/>
      <c r="GF208" s="1708"/>
      <c r="GG208" s="1708"/>
      <c r="GH208" s="1708"/>
      <c r="GI208" s="1708"/>
      <c r="GJ208" s="1708"/>
      <c r="GK208" s="1708"/>
      <c r="GL208" s="1708"/>
      <c r="GM208" s="1708"/>
      <c r="GN208" s="1708"/>
      <c r="GO208" s="1708"/>
      <c r="GP208" s="1708"/>
      <c r="GQ208" s="1708"/>
      <c r="GR208" s="1708"/>
      <c r="GS208" s="1708"/>
      <c r="GT208" s="1708"/>
      <c r="GU208" s="1708"/>
      <c r="GV208" s="1708"/>
      <c r="GW208" s="1708"/>
      <c r="GX208" s="1708"/>
      <c r="GY208" s="1708"/>
      <c r="GZ208" s="1708"/>
      <c r="HA208" s="1708"/>
      <c r="HB208" s="1708"/>
      <c r="HC208" s="1708"/>
      <c r="HD208" s="1708"/>
      <c r="HE208" s="1708"/>
      <c r="HF208" s="1708"/>
      <c r="HG208" s="1708"/>
      <c r="HH208" s="1708"/>
      <c r="HI208" s="1708"/>
      <c r="HJ208" s="1708"/>
      <c r="HK208" s="1708"/>
      <c r="HL208" s="1708"/>
      <c r="HM208" s="1708"/>
      <c r="HN208" s="1708"/>
      <c r="HO208" s="1708"/>
      <c r="HP208" s="1708"/>
      <c r="HQ208" s="1708"/>
      <c r="HR208" s="1708"/>
      <c r="HS208" s="1708"/>
      <c r="HT208" s="1708"/>
      <c r="HU208" s="1708"/>
      <c r="HV208" s="1708"/>
      <c r="HW208" s="1708"/>
      <c r="HX208" s="1708"/>
      <c r="HY208" s="1708"/>
      <c r="HZ208" s="1708"/>
      <c r="IA208" s="1708"/>
      <c r="IB208" s="1708"/>
      <c r="IC208" s="1708"/>
      <c r="ID208" s="1708"/>
      <c r="IE208" s="1708"/>
      <c r="IF208" s="1708"/>
      <c r="IG208" s="1708"/>
      <c r="IH208" s="1708"/>
      <c r="II208" s="1708"/>
      <c r="IJ208" s="1708"/>
      <c r="IK208" s="1708"/>
      <c r="IL208" s="1708"/>
      <c r="IM208" s="1708"/>
      <c r="IN208" s="1708"/>
      <c r="IO208" s="1708"/>
      <c r="IP208" s="1708"/>
      <c r="IQ208" s="1708"/>
      <c r="IR208" s="1708"/>
      <c r="IS208" s="1708"/>
      <c r="IT208" s="1708"/>
      <c r="IU208" s="1708"/>
      <c r="IV208" s="1708"/>
    </row>
    <row r="209" spans="2:256" s="57" customFormat="1" x14ac:dyDescent="0.25">
      <c r="B209" s="1836"/>
      <c r="G209" s="1849"/>
      <c r="J209" s="1850"/>
      <c r="K209" s="1850"/>
      <c r="S209" s="1708"/>
      <c r="T209" s="1708"/>
      <c r="U209" s="1708"/>
      <c r="V209" s="1708"/>
      <c r="W209" s="1708"/>
      <c r="X209" s="1708"/>
      <c r="Y209" s="1708"/>
      <c r="Z209" s="1708"/>
      <c r="AA209" s="1708"/>
      <c r="AB209" s="1708"/>
      <c r="AC209" s="1708"/>
      <c r="AD209" s="1708"/>
      <c r="AE209" s="1708"/>
      <c r="AF209" s="1708"/>
      <c r="AG209" s="1708"/>
      <c r="AH209" s="1708"/>
      <c r="AI209" s="1708"/>
      <c r="AJ209" s="1708"/>
      <c r="AK209" s="1708"/>
      <c r="AL209" s="1708"/>
      <c r="AM209" s="1708"/>
      <c r="AN209" s="1708"/>
      <c r="AO209" s="1708"/>
      <c r="AP209" s="1708"/>
      <c r="AQ209" s="1708"/>
      <c r="AR209" s="1708"/>
      <c r="AS209" s="1708"/>
      <c r="AT209" s="1708"/>
      <c r="AU209" s="1708"/>
      <c r="AV209" s="1708"/>
      <c r="AW209" s="1708"/>
      <c r="AX209" s="1708"/>
      <c r="AY209" s="1708"/>
      <c r="AZ209" s="1708"/>
      <c r="BA209" s="1708"/>
      <c r="BB209" s="1708"/>
      <c r="BC209" s="1708"/>
      <c r="BD209" s="1708"/>
      <c r="BE209" s="1708"/>
      <c r="BF209" s="1708"/>
      <c r="BG209" s="1708"/>
      <c r="BH209" s="1708"/>
      <c r="BI209" s="1708"/>
      <c r="BJ209" s="1708"/>
      <c r="BK209" s="1708"/>
      <c r="BL209" s="1708"/>
      <c r="BM209" s="1708"/>
      <c r="BN209" s="1708"/>
      <c r="BO209" s="1708"/>
      <c r="BP209" s="1708"/>
      <c r="BQ209" s="1708"/>
      <c r="BR209" s="1708"/>
      <c r="BS209" s="1708"/>
      <c r="BT209" s="1708"/>
      <c r="BU209" s="1708"/>
      <c r="BV209" s="1708"/>
      <c r="BW209" s="1708"/>
      <c r="BX209" s="1708"/>
      <c r="BY209" s="1708"/>
      <c r="BZ209" s="1708"/>
      <c r="CA209" s="1708"/>
      <c r="CB209" s="1708"/>
      <c r="CC209" s="1708"/>
      <c r="CD209" s="1708"/>
      <c r="CE209" s="1708"/>
      <c r="CF209" s="1708"/>
      <c r="CG209" s="1708"/>
      <c r="CH209" s="1708"/>
      <c r="CI209" s="1708"/>
      <c r="CJ209" s="1708"/>
      <c r="CK209" s="1708"/>
      <c r="CL209" s="1708"/>
      <c r="CM209" s="1708"/>
      <c r="CN209" s="1708"/>
      <c r="CO209" s="1708"/>
      <c r="CP209" s="1708"/>
      <c r="CQ209" s="1708"/>
      <c r="CR209" s="1708"/>
      <c r="CS209" s="1708"/>
      <c r="CT209" s="1708"/>
      <c r="CU209" s="1708"/>
      <c r="CV209" s="1708"/>
      <c r="CW209" s="1708"/>
      <c r="CX209" s="1708"/>
      <c r="CY209" s="1708"/>
      <c r="CZ209" s="1708"/>
      <c r="DA209" s="1708"/>
      <c r="DB209" s="1708"/>
      <c r="DC209" s="1708"/>
      <c r="DD209" s="1708"/>
      <c r="DE209" s="1708"/>
      <c r="DF209" s="1708"/>
      <c r="DG209" s="1708"/>
      <c r="DH209" s="1708"/>
      <c r="DI209" s="1708"/>
      <c r="DJ209" s="1708"/>
      <c r="DK209" s="1708"/>
      <c r="DL209" s="1708"/>
      <c r="DM209" s="1708"/>
      <c r="DN209" s="1708"/>
      <c r="DO209" s="1708"/>
      <c r="DP209" s="1708"/>
      <c r="DQ209" s="1708"/>
      <c r="DR209" s="1708"/>
      <c r="DS209" s="1708"/>
      <c r="DT209" s="1708"/>
      <c r="DU209" s="1708"/>
      <c r="DV209" s="1708"/>
      <c r="DW209" s="1708"/>
      <c r="DX209" s="1708"/>
      <c r="DY209" s="1708"/>
      <c r="DZ209" s="1708"/>
      <c r="EA209" s="1708"/>
      <c r="EB209" s="1708"/>
      <c r="EC209" s="1708"/>
      <c r="ED209" s="1708"/>
      <c r="EE209" s="1708"/>
      <c r="EF209" s="1708"/>
      <c r="EG209" s="1708"/>
      <c r="EH209" s="1708"/>
      <c r="EI209" s="1708"/>
      <c r="EJ209" s="1708"/>
      <c r="EK209" s="1708"/>
      <c r="EL209" s="1708"/>
      <c r="EM209" s="1708"/>
      <c r="EN209" s="1708"/>
      <c r="EO209" s="1708"/>
      <c r="EP209" s="1708"/>
      <c r="EQ209" s="1708"/>
      <c r="ER209" s="1708"/>
      <c r="ES209" s="1708"/>
      <c r="ET209" s="1708"/>
      <c r="EU209" s="1708"/>
      <c r="EV209" s="1708"/>
      <c r="EW209" s="1708"/>
      <c r="EX209" s="1708"/>
      <c r="EY209" s="1708"/>
      <c r="EZ209" s="1708"/>
      <c r="FA209" s="1708"/>
      <c r="FB209" s="1708"/>
      <c r="FC209" s="1708"/>
      <c r="FD209" s="1708"/>
      <c r="FE209" s="1708"/>
      <c r="FF209" s="1708"/>
      <c r="FG209" s="1708"/>
      <c r="FH209" s="1708"/>
      <c r="FI209" s="1708"/>
      <c r="FJ209" s="1708"/>
      <c r="FK209" s="1708"/>
      <c r="FL209" s="1708"/>
      <c r="FM209" s="1708"/>
      <c r="FN209" s="1708"/>
      <c r="FO209" s="1708"/>
      <c r="FP209" s="1708"/>
      <c r="FQ209" s="1708"/>
      <c r="FR209" s="1708"/>
      <c r="FS209" s="1708"/>
      <c r="FT209" s="1708"/>
      <c r="FU209" s="1708"/>
      <c r="FV209" s="1708"/>
      <c r="FW209" s="1708"/>
      <c r="FX209" s="1708"/>
      <c r="FY209" s="1708"/>
      <c r="FZ209" s="1708"/>
      <c r="GA209" s="1708"/>
      <c r="GB209" s="1708"/>
      <c r="GC209" s="1708"/>
      <c r="GD209" s="1708"/>
      <c r="GE209" s="1708"/>
      <c r="GF209" s="1708"/>
      <c r="GG209" s="1708"/>
      <c r="GH209" s="1708"/>
      <c r="GI209" s="1708"/>
      <c r="GJ209" s="1708"/>
      <c r="GK209" s="1708"/>
      <c r="GL209" s="1708"/>
      <c r="GM209" s="1708"/>
      <c r="GN209" s="1708"/>
      <c r="GO209" s="1708"/>
      <c r="GP209" s="1708"/>
      <c r="GQ209" s="1708"/>
      <c r="GR209" s="1708"/>
      <c r="GS209" s="1708"/>
      <c r="GT209" s="1708"/>
      <c r="GU209" s="1708"/>
      <c r="GV209" s="1708"/>
      <c r="GW209" s="1708"/>
      <c r="GX209" s="1708"/>
      <c r="GY209" s="1708"/>
      <c r="GZ209" s="1708"/>
      <c r="HA209" s="1708"/>
      <c r="HB209" s="1708"/>
      <c r="HC209" s="1708"/>
      <c r="HD209" s="1708"/>
      <c r="HE209" s="1708"/>
      <c r="HF209" s="1708"/>
      <c r="HG209" s="1708"/>
      <c r="HH209" s="1708"/>
      <c r="HI209" s="1708"/>
      <c r="HJ209" s="1708"/>
      <c r="HK209" s="1708"/>
      <c r="HL209" s="1708"/>
      <c r="HM209" s="1708"/>
      <c r="HN209" s="1708"/>
      <c r="HO209" s="1708"/>
      <c r="HP209" s="1708"/>
      <c r="HQ209" s="1708"/>
      <c r="HR209" s="1708"/>
      <c r="HS209" s="1708"/>
      <c r="HT209" s="1708"/>
      <c r="HU209" s="1708"/>
      <c r="HV209" s="1708"/>
      <c r="HW209" s="1708"/>
      <c r="HX209" s="1708"/>
      <c r="HY209" s="1708"/>
      <c r="HZ209" s="1708"/>
      <c r="IA209" s="1708"/>
      <c r="IB209" s="1708"/>
      <c r="IC209" s="1708"/>
      <c r="ID209" s="1708"/>
      <c r="IE209" s="1708"/>
      <c r="IF209" s="1708"/>
      <c r="IG209" s="1708"/>
      <c r="IH209" s="1708"/>
      <c r="II209" s="1708"/>
      <c r="IJ209" s="1708"/>
      <c r="IK209" s="1708"/>
      <c r="IL209" s="1708"/>
      <c r="IM209" s="1708"/>
      <c r="IN209" s="1708"/>
      <c r="IO209" s="1708"/>
      <c r="IP209" s="1708"/>
      <c r="IQ209" s="1708"/>
      <c r="IR209" s="1708"/>
      <c r="IS209" s="1708"/>
      <c r="IT209" s="1708"/>
      <c r="IU209" s="1708"/>
      <c r="IV209" s="1708"/>
    </row>
    <row r="210" spans="2:256" s="57" customFormat="1" x14ac:dyDescent="0.25">
      <c r="B210" s="1836"/>
      <c r="G210" s="1849"/>
      <c r="J210" s="1850"/>
      <c r="K210" s="1850"/>
      <c r="S210" s="1708"/>
      <c r="T210" s="1708"/>
      <c r="U210" s="1708"/>
      <c r="V210" s="1708"/>
      <c r="W210" s="1708"/>
      <c r="X210" s="1708"/>
      <c r="Y210" s="1708"/>
      <c r="Z210" s="1708"/>
      <c r="AA210" s="1708"/>
      <c r="AB210" s="1708"/>
      <c r="AC210" s="1708"/>
      <c r="AD210" s="1708"/>
      <c r="AE210" s="1708"/>
      <c r="AF210" s="1708"/>
      <c r="AG210" s="1708"/>
      <c r="AH210" s="1708"/>
      <c r="AI210" s="1708"/>
      <c r="AJ210" s="1708"/>
      <c r="AK210" s="1708"/>
      <c r="AL210" s="1708"/>
      <c r="AM210" s="1708"/>
      <c r="AN210" s="1708"/>
      <c r="AO210" s="1708"/>
      <c r="AP210" s="1708"/>
      <c r="AQ210" s="1708"/>
      <c r="AR210" s="1708"/>
      <c r="AS210" s="1708"/>
      <c r="AT210" s="1708"/>
      <c r="AU210" s="1708"/>
      <c r="AV210" s="1708"/>
      <c r="AW210" s="1708"/>
      <c r="AX210" s="1708"/>
      <c r="AY210" s="1708"/>
      <c r="AZ210" s="1708"/>
      <c r="BA210" s="1708"/>
      <c r="BB210" s="1708"/>
      <c r="BC210" s="1708"/>
      <c r="BD210" s="1708"/>
      <c r="BE210" s="1708"/>
      <c r="BF210" s="1708"/>
      <c r="BG210" s="1708"/>
      <c r="BH210" s="1708"/>
      <c r="BI210" s="1708"/>
      <c r="BJ210" s="1708"/>
      <c r="BK210" s="1708"/>
      <c r="BL210" s="1708"/>
      <c r="BM210" s="1708"/>
      <c r="BN210" s="1708"/>
      <c r="BO210" s="1708"/>
      <c r="BP210" s="1708"/>
      <c r="BQ210" s="1708"/>
      <c r="BR210" s="1708"/>
      <c r="BS210" s="1708"/>
      <c r="BT210" s="1708"/>
      <c r="BU210" s="1708"/>
      <c r="BV210" s="1708"/>
      <c r="BW210" s="1708"/>
      <c r="BX210" s="1708"/>
      <c r="BY210" s="1708"/>
      <c r="BZ210" s="1708"/>
      <c r="CA210" s="1708"/>
      <c r="CB210" s="1708"/>
      <c r="CC210" s="1708"/>
      <c r="CD210" s="1708"/>
      <c r="CE210" s="1708"/>
      <c r="CF210" s="1708"/>
      <c r="CG210" s="1708"/>
      <c r="CH210" s="1708"/>
      <c r="CI210" s="1708"/>
      <c r="CJ210" s="1708"/>
      <c r="CK210" s="1708"/>
      <c r="CL210" s="1708"/>
      <c r="CM210" s="1708"/>
      <c r="CN210" s="1708"/>
      <c r="CO210" s="1708"/>
      <c r="CP210" s="1708"/>
      <c r="CQ210" s="1708"/>
      <c r="CR210" s="1708"/>
      <c r="CS210" s="1708"/>
      <c r="CT210" s="1708"/>
      <c r="CU210" s="1708"/>
      <c r="CV210" s="1708"/>
      <c r="CW210" s="1708"/>
      <c r="CX210" s="1708"/>
      <c r="CY210" s="1708"/>
      <c r="CZ210" s="1708"/>
      <c r="DA210" s="1708"/>
      <c r="DB210" s="1708"/>
      <c r="DC210" s="1708"/>
      <c r="DD210" s="1708"/>
      <c r="DE210" s="1708"/>
      <c r="DF210" s="1708"/>
      <c r="DG210" s="1708"/>
      <c r="DH210" s="1708"/>
      <c r="DI210" s="1708"/>
      <c r="DJ210" s="1708"/>
      <c r="DK210" s="1708"/>
      <c r="DL210" s="1708"/>
      <c r="DM210" s="1708"/>
      <c r="DN210" s="1708"/>
      <c r="DO210" s="1708"/>
      <c r="DP210" s="1708"/>
      <c r="DQ210" s="1708"/>
      <c r="DR210" s="1708"/>
      <c r="DS210" s="1708"/>
      <c r="DT210" s="1708"/>
      <c r="DU210" s="1708"/>
      <c r="DV210" s="1708"/>
      <c r="DW210" s="1708"/>
      <c r="DX210" s="1708"/>
      <c r="DY210" s="1708"/>
      <c r="DZ210" s="1708"/>
      <c r="EA210" s="1708"/>
      <c r="EB210" s="1708"/>
      <c r="EC210" s="1708"/>
      <c r="ED210" s="1708"/>
      <c r="EE210" s="1708"/>
      <c r="EF210" s="1708"/>
      <c r="EG210" s="1708"/>
      <c r="EH210" s="1708"/>
      <c r="EI210" s="1708"/>
      <c r="EJ210" s="1708"/>
      <c r="EK210" s="1708"/>
      <c r="EL210" s="1708"/>
      <c r="EM210" s="1708"/>
      <c r="EN210" s="1708"/>
      <c r="EO210" s="1708"/>
      <c r="EP210" s="1708"/>
      <c r="EQ210" s="1708"/>
      <c r="ER210" s="1708"/>
      <c r="ES210" s="1708"/>
      <c r="ET210" s="1708"/>
      <c r="EU210" s="1708"/>
      <c r="EV210" s="1708"/>
      <c r="EW210" s="1708"/>
      <c r="EX210" s="1708"/>
      <c r="EY210" s="1708"/>
      <c r="EZ210" s="1708"/>
      <c r="FA210" s="1708"/>
      <c r="FB210" s="1708"/>
      <c r="FC210" s="1708"/>
      <c r="FD210" s="1708"/>
      <c r="FE210" s="1708"/>
      <c r="FF210" s="1708"/>
      <c r="FG210" s="1708"/>
      <c r="FH210" s="1708"/>
      <c r="FI210" s="1708"/>
      <c r="FJ210" s="1708"/>
      <c r="FK210" s="1708"/>
      <c r="FL210" s="1708"/>
      <c r="FM210" s="1708"/>
      <c r="FN210" s="1708"/>
      <c r="FO210" s="1708"/>
      <c r="FP210" s="1708"/>
      <c r="FQ210" s="1708"/>
      <c r="FR210" s="1708"/>
      <c r="FS210" s="1708"/>
      <c r="FT210" s="1708"/>
      <c r="FU210" s="1708"/>
      <c r="FV210" s="1708"/>
      <c r="FW210" s="1708"/>
      <c r="FX210" s="1708"/>
      <c r="FY210" s="1708"/>
      <c r="FZ210" s="1708"/>
      <c r="GA210" s="1708"/>
      <c r="GB210" s="1708"/>
      <c r="GC210" s="1708"/>
      <c r="GD210" s="1708"/>
      <c r="GE210" s="1708"/>
      <c r="GF210" s="1708"/>
      <c r="GG210" s="1708"/>
      <c r="GH210" s="1708"/>
      <c r="GI210" s="1708"/>
      <c r="GJ210" s="1708"/>
      <c r="GK210" s="1708"/>
      <c r="GL210" s="1708"/>
      <c r="GM210" s="1708"/>
      <c r="GN210" s="1708"/>
      <c r="GO210" s="1708"/>
      <c r="GP210" s="1708"/>
      <c r="GQ210" s="1708"/>
      <c r="GR210" s="1708"/>
      <c r="GS210" s="1708"/>
      <c r="GT210" s="1708"/>
      <c r="GU210" s="1708"/>
      <c r="GV210" s="1708"/>
      <c r="GW210" s="1708"/>
      <c r="GX210" s="1708"/>
      <c r="GY210" s="1708"/>
      <c r="GZ210" s="1708"/>
      <c r="HA210" s="1708"/>
      <c r="HB210" s="1708"/>
      <c r="HC210" s="1708"/>
      <c r="HD210" s="1708"/>
      <c r="HE210" s="1708"/>
      <c r="HF210" s="1708"/>
      <c r="HG210" s="1708"/>
      <c r="HH210" s="1708"/>
      <c r="HI210" s="1708"/>
      <c r="HJ210" s="1708"/>
      <c r="HK210" s="1708"/>
      <c r="HL210" s="1708"/>
      <c r="HM210" s="1708"/>
      <c r="HN210" s="1708"/>
      <c r="HO210" s="1708"/>
      <c r="HP210" s="1708"/>
      <c r="HQ210" s="1708"/>
      <c r="HR210" s="1708"/>
      <c r="HS210" s="1708"/>
      <c r="HT210" s="1708"/>
      <c r="HU210" s="1708"/>
      <c r="HV210" s="1708"/>
      <c r="HW210" s="1708"/>
      <c r="HX210" s="1708"/>
      <c r="HY210" s="1708"/>
      <c r="HZ210" s="1708"/>
      <c r="IA210" s="1708"/>
      <c r="IB210" s="1708"/>
      <c r="IC210" s="1708"/>
      <c r="ID210" s="1708"/>
      <c r="IE210" s="1708"/>
      <c r="IF210" s="1708"/>
      <c r="IG210" s="1708"/>
      <c r="IH210" s="1708"/>
      <c r="II210" s="1708"/>
      <c r="IJ210" s="1708"/>
      <c r="IK210" s="1708"/>
      <c r="IL210" s="1708"/>
      <c r="IM210" s="1708"/>
      <c r="IN210" s="1708"/>
      <c r="IO210" s="1708"/>
      <c r="IP210" s="1708"/>
      <c r="IQ210" s="1708"/>
      <c r="IR210" s="1708"/>
      <c r="IS210" s="1708"/>
      <c r="IT210" s="1708"/>
      <c r="IU210" s="1708"/>
      <c r="IV210" s="1708"/>
    </row>
    <row r="211" spans="2:256" s="57" customFormat="1" x14ac:dyDescent="0.25">
      <c r="B211" s="1836"/>
      <c r="G211" s="1849"/>
      <c r="J211" s="1850"/>
      <c r="K211" s="1850"/>
      <c r="S211" s="1708"/>
      <c r="T211" s="1708"/>
      <c r="U211" s="1708"/>
      <c r="V211" s="1708"/>
      <c r="W211" s="1708"/>
      <c r="X211" s="1708"/>
      <c r="Y211" s="1708"/>
      <c r="Z211" s="1708"/>
      <c r="AA211" s="1708"/>
      <c r="AB211" s="1708"/>
      <c r="AC211" s="1708"/>
      <c r="AD211" s="1708"/>
      <c r="AE211" s="1708"/>
      <c r="AF211" s="1708"/>
      <c r="AG211" s="1708"/>
      <c r="AH211" s="1708"/>
      <c r="AI211" s="1708"/>
      <c r="AJ211" s="1708"/>
      <c r="AK211" s="1708"/>
      <c r="AL211" s="1708"/>
      <c r="AM211" s="1708"/>
      <c r="AN211" s="1708"/>
      <c r="AO211" s="1708"/>
      <c r="AP211" s="1708"/>
      <c r="AQ211" s="1708"/>
      <c r="AR211" s="1708"/>
      <c r="AS211" s="1708"/>
      <c r="AT211" s="1708"/>
      <c r="AU211" s="1708"/>
      <c r="AV211" s="1708"/>
      <c r="AW211" s="1708"/>
      <c r="AX211" s="1708"/>
      <c r="AY211" s="1708"/>
      <c r="AZ211" s="1708"/>
      <c r="BA211" s="1708"/>
      <c r="BB211" s="1708"/>
      <c r="BC211" s="1708"/>
      <c r="BD211" s="1708"/>
      <c r="BE211" s="1708"/>
      <c r="BF211" s="1708"/>
      <c r="BG211" s="1708"/>
      <c r="BH211" s="1708"/>
      <c r="BI211" s="1708"/>
      <c r="BJ211" s="1708"/>
      <c r="BK211" s="1708"/>
      <c r="BL211" s="1708"/>
      <c r="BM211" s="1708"/>
      <c r="BN211" s="1708"/>
      <c r="BO211" s="1708"/>
      <c r="BP211" s="1708"/>
      <c r="BQ211" s="1708"/>
      <c r="BR211" s="1708"/>
      <c r="BS211" s="1708"/>
      <c r="BT211" s="1708"/>
      <c r="BU211" s="1708"/>
      <c r="BV211" s="1708"/>
      <c r="BW211" s="1708"/>
      <c r="BX211" s="1708"/>
      <c r="BY211" s="1708"/>
      <c r="BZ211" s="1708"/>
      <c r="CA211" s="1708"/>
      <c r="CB211" s="1708"/>
      <c r="CC211" s="1708"/>
      <c r="CD211" s="1708"/>
      <c r="CE211" s="1708"/>
      <c r="CF211" s="1708"/>
      <c r="CG211" s="1708"/>
      <c r="CH211" s="1708"/>
      <c r="CI211" s="1708"/>
      <c r="CJ211" s="1708"/>
      <c r="CK211" s="1708"/>
      <c r="CL211" s="1708"/>
      <c r="CM211" s="1708"/>
      <c r="CN211" s="1708"/>
      <c r="CO211" s="1708"/>
      <c r="CP211" s="1708"/>
      <c r="CQ211" s="1708"/>
      <c r="CR211" s="1708"/>
      <c r="CS211" s="1708"/>
      <c r="CT211" s="1708"/>
      <c r="CU211" s="1708"/>
      <c r="CV211" s="1708"/>
      <c r="CW211" s="1708"/>
      <c r="CX211" s="1708"/>
      <c r="CY211" s="1708"/>
      <c r="CZ211" s="1708"/>
      <c r="DA211" s="1708"/>
      <c r="DB211" s="1708"/>
      <c r="DC211" s="1708"/>
      <c r="DD211" s="1708"/>
      <c r="DE211" s="1708"/>
      <c r="DF211" s="1708"/>
      <c r="DG211" s="1708"/>
      <c r="DH211" s="1708"/>
      <c r="DI211" s="1708"/>
      <c r="DJ211" s="1708"/>
      <c r="DK211" s="1708"/>
      <c r="DL211" s="1708"/>
      <c r="DM211" s="1708"/>
      <c r="DN211" s="1708"/>
      <c r="DO211" s="1708"/>
      <c r="DP211" s="1708"/>
      <c r="DQ211" s="1708"/>
      <c r="DR211" s="1708"/>
      <c r="DS211" s="1708"/>
      <c r="DT211" s="1708"/>
      <c r="DU211" s="1708"/>
      <c r="DV211" s="1708"/>
      <c r="DW211" s="1708"/>
      <c r="DX211" s="1708"/>
      <c r="DY211" s="1708"/>
      <c r="DZ211" s="1708"/>
      <c r="EA211" s="1708"/>
      <c r="EB211" s="1708"/>
      <c r="EC211" s="1708"/>
      <c r="ED211" s="1708"/>
      <c r="EE211" s="1708"/>
      <c r="EF211" s="1708"/>
      <c r="EG211" s="1708"/>
      <c r="EH211" s="1708"/>
      <c r="EI211" s="1708"/>
      <c r="EJ211" s="1708"/>
      <c r="EK211" s="1708"/>
      <c r="EL211" s="1708"/>
      <c r="EM211" s="1708"/>
      <c r="EN211" s="1708"/>
      <c r="EO211" s="1708"/>
      <c r="EP211" s="1708"/>
      <c r="EQ211" s="1708"/>
      <c r="ER211" s="1708"/>
      <c r="ES211" s="1708"/>
      <c r="ET211" s="1708"/>
      <c r="EU211" s="1708"/>
      <c r="EV211" s="1708"/>
      <c r="EW211" s="1708"/>
      <c r="EX211" s="1708"/>
      <c r="EY211" s="1708"/>
      <c r="EZ211" s="1708"/>
      <c r="FA211" s="1708"/>
      <c r="FB211" s="1708"/>
      <c r="FC211" s="1708"/>
      <c r="FD211" s="1708"/>
      <c r="FE211" s="1708"/>
      <c r="FF211" s="1708"/>
      <c r="FG211" s="1708"/>
      <c r="FH211" s="1708"/>
      <c r="FI211" s="1708"/>
      <c r="FJ211" s="1708"/>
      <c r="FK211" s="1708"/>
      <c r="FL211" s="1708"/>
      <c r="FM211" s="1708"/>
      <c r="FN211" s="1708"/>
      <c r="FO211" s="1708"/>
      <c r="FP211" s="1708"/>
      <c r="FQ211" s="1708"/>
      <c r="FR211" s="1708"/>
      <c r="FS211" s="1708"/>
      <c r="FT211" s="1708"/>
      <c r="FU211" s="1708"/>
      <c r="FV211" s="1708"/>
      <c r="FW211" s="1708"/>
      <c r="FX211" s="1708"/>
      <c r="FY211" s="1708"/>
      <c r="FZ211" s="1708"/>
      <c r="GA211" s="1708"/>
      <c r="GB211" s="1708"/>
      <c r="GC211" s="1708"/>
      <c r="GD211" s="1708"/>
      <c r="GE211" s="1708"/>
      <c r="GF211" s="1708"/>
      <c r="GG211" s="1708"/>
      <c r="GH211" s="1708"/>
      <c r="GI211" s="1708"/>
      <c r="GJ211" s="1708"/>
      <c r="GK211" s="1708"/>
      <c r="GL211" s="1708"/>
      <c r="GM211" s="1708"/>
      <c r="GN211" s="1708"/>
      <c r="GO211" s="1708"/>
      <c r="GP211" s="1708"/>
      <c r="GQ211" s="1708"/>
      <c r="GR211" s="1708"/>
      <c r="GS211" s="1708"/>
      <c r="GT211" s="1708"/>
      <c r="GU211" s="1708"/>
      <c r="GV211" s="1708"/>
      <c r="GW211" s="1708"/>
      <c r="GX211" s="1708"/>
      <c r="GY211" s="1708"/>
      <c r="GZ211" s="1708"/>
      <c r="HA211" s="1708"/>
      <c r="HB211" s="1708"/>
      <c r="HC211" s="1708"/>
      <c r="HD211" s="1708"/>
      <c r="HE211" s="1708"/>
      <c r="HF211" s="1708"/>
      <c r="HG211" s="1708"/>
      <c r="HH211" s="1708"/>
      <c r="HI211" s="1708"/>
      <c r="HJ211" s="1708"/>
      <c r="HK211" s="1708"/>
      <c r="HL211" s="1708"/>
      <c r="HM211" s="1708"/>
      <c r="HN211" s="1708"/>
      <c r="HO211" s="1708"/>
      <c r="HP211" s="1708"/>
      <c r="HQ211" s="1708"/>
      <c r="HR211" s="1708"/>
      <c r="HS211" s="1708"/>
      <c r="HT211" s="1708"/>
      <c r="HU211" s="1708"/>
      <c r="HV211" s="1708"/>
      <c r="HW211" s="1708"/>
      <c r="HX211" s="1708"/>
      <c r="HY211" s="1708"/>
      <c r="HZ211" s="1708"/>
      <c r="IA211" s="1708"/>
      <c r="IB211" s="1708"/>
      <c r="IC211" s="1708"/>
      <c r="ID211" s="1708"/>
      <c r="IE211" s="1708"/>
      <c r="IF211" s="1708"/>
      <c r="IG211" s="1708"/>
      <c r="IH211" s="1708"/>
      <c r="II211" s="1708"/>
      <c r="IJ211" s="1708"/>
      <c r="IK211" s="1708"/>
      <c r="IL211" s="1708"/>
      <c r="IM211" s="1708"/>
      <c r="IN211" s="1708"/>
      <c r="IO211" s="1708"/>
      <c r="IP211" s="1708"/>
      <c r="IQ211" s="1708"/>
      <c r="IR211" s="1708"/>
      <c r="IS211" s="1708"/>
      <c r="IT211" s="1708"/>
      <c r="IU211" s="1708"/>
      <c r="IV211" s="1708"/>
    </row>
    <row r="212" spans="2:256" s="57" customFormat="1" x14ac:dyDescent="0.25">
      <c r="B212" s="1836"/>
      <c r="G212" s="1849"/>
      <c r="J212" s="1850"/>
      <c r="K212" s="1850"/>
      <c r="S212" s="1708"/>
      <c r="T212" s="1708"/>
      <c r="U212" s="1708"/>
      <c r="V212" s="1708"/>
      <c r="W212" s="1708"/>
      <c r="X212" s="1708"/>
      <c r="Y212" s="1708"/>
      <c r="Z212" s="1708"/>
      <c r="AA212" s="1708"/>
      <c r="AB212" s="1708"/>
      <c r="AC212" s="1708"/>
      <c r="AD212" s="1708"/>
      <c r="AE212" s="1708"/>
      <c r="AF212" s="1708"/>
      <c r="AG212" s="1708"/>
      <c r="AH212" s="1708"/>
      <c r="AI212" s="1708"/>
      <c r="AJ212" s="1708"/>
      <c r="AK212" s="1708"/>
      <c r="AL212" s="1708"/>
      <c r="AM212" s="1708"/>
      <c r="AN212" s="1708"/>
      <c r="AO212" s="1708"/>
      <c r="AP212" s="1708"/>
      <c r="AQ212" s="1708"/>
      <c r="AR212" s="1708"/>
      <c r="AS212" s="1708"/>
      <c r="AT212" s="1708"/>
      <c r="AU212" s="1708"/>
      <c r="AV212" s="1708"/>
      <c r="AW212" s="1708"/>
      <c r="AX212" s="1708"/>
      <c r="AY212" s="1708"/>
      <c r="AZ212" s="1708"/>
      <c r="BA212" s="1708"/>
      <c r="BB212" s="1708"/>
      <c r="BC212" s="1708"/>
      <c r="BD212" s="1708"/>
      <c r="BE212" s="1708"/>
      <c r="BF212" s="1708"/>
      <c r="BG212" s="1708"/>
      <c r="BH212" s="1708"/>
      <c r="BI212" s="1708"/>
      <c r="BJ212" s="1708"/>
      <c r="BK212" s="1708"/>
      <c r="BL212" s="1708"/>
      <c r="BM212" s="1708"/>
      <c r="BN212" s="1708"/>
      <c r="BO212" s="1708"/>
      <c r="BP212" s="1708"/>
      <c r="BQ212" s="1708"/>
      <c r="BR212" s="1708"/>
      <c r="BS212" s="1708"/>
      <c r="BT212" s="1708"/>
      <c r="BU212" s="1708"/>
      <c r="BV212" s="1708"/>
      <c r="BW212" s="1708"/>
      <c r="BX212" s="1708"/>
      <c r="BY212" s="1708"/>
      <c r="BZ212" s="1708"/>
      <c r="CA212" s="1708"/>
      <c r="CB212" s="1708"/>
      <c r="CC212" s="1708"/>
      <c r="CD212" s="1708"/>
      <c r="CE212" s="1708"/>
      <c r="CF212" s="1708"/>
      <c r="CG212" s="1708"/>
      <c r="CH212" s="1708"/>
      <c r="CI212" s="1708"/>
      <c r="CJ212" s="1708"/>
      <c r="CK212" s="1708"/>
      <c r="CL212" s="1708"/>
      <c r="CM212" s="1708"/>
      <c r="CN212" s="1708"/>
      <c r="CO212" s="1708"/>
      <c r="CP212" s="1708"/>
      <c r="CQ212" s="1708"/>
      <c r="CR212" s="1708"/>
      <c r="CS212" s="1708"/>
      <c r="CT212" s="1708"/>
      <c r="CU212" s="1708"/>
      <c r="CV212" s="1708"/>
      <c r="CW212" s="1708"/>
      <c r="CX212" s="1708"/>
      <c r="CY212" s="1708"/>
      <c r="CZ212" s="1708"/>
      <c r="DA212" s="1708"/>
      <c r="DB212" s="1708"/>
      <c r="DC212" s="1708"/>
      <c r="DD212" s="1708"/>
      <c r="DE212" s="1708"/>
      <c r="DF212" s="1708"/>
      <c r="DG212" s="1708"/>
      <c r="DH212" s="1708"/>
      <c r="DI212" s="1708"/>
      <c r="DJ212" s="1708"/>
      <c r="DK212" s="1708"/>
      <c r="DL212" s="1708"/>
      <c r="DM212" s="1708"/>
      <c r="DN212" s="1708"/>
      <c r="DO212" s="1708"/>
      <c r="DP212" s="1708"/>
      <c r="DQ212" s="1708"/>
      <c r="DR212" s="1708"/>
      <c r="DS212" s="1708"/>
      <c r="DT212" s="1708"/>
      <c r="DU212" s="1708"/>
      <c r="DV212" s="1708"/>
      <c r="DW212" s="1708"/>
      <c r="DX212" s="1708"/>
      <c r="DY212" s="1708"/>
      <c r="DZ212" s="1708"/>
      <c r="EA212" s="1708"/>
      <c r="EB212" s="1708"/>
      <c r="EC212" s="1708"/>
      <c r="ED212" s="1708"/>
      <c r="EE212" s="1708"/>
      <c r="EF212" s="1708"/>
      <c r="EG212" s="1708"/>
      <c r="EH212" s="1708"/>
      <c r="EI212" s="1708"/>
      <c r="EJ212" s="1708"/>
      <c r="EK212" s="1708"/>
      <c r="EL212" s="1708"/>
      <c r="EM212" s="1708"/>
      <c r="EN212" s="1708"/>
      <c r="EO212" s="1708"/>
      <c r="EP212" s="1708"/>
      <c r="EQ212" s="1708"/>
      <c r="ER212" s="1708"/>
      <c r="ES212" s="1708"/>
      <c r="ET212" s="1708"/>
      <c r="EU212" s="1708"/>
      <c r="EV212" s="1708"/>
      <c r="EW212" s="1708"/>
      <c r="EX212" s="1708"/>
      <c r="EY212" s="1708"/>
      <c r="EZ212" s="1708"/>
      <c r="FA212" s="1708"/>
      <c r="FB212" s="1708"/>
      <c r="FC212" s="1708"/>
      <c r="FD212" s="1708"/>
      <c r="FE212" s="1708"/>
      <c r="FF212" s="1708"/>
      <c r="FG212" s="1708"/>
      <c r="FH212" s="1708"/>
      <c r="FI212" s="1708"/>
      <c r="FJ212" s="1708"/>
      <c r="FK212" s="1708"/>
      <c r="FL212" s="1708"/>
      <c r="FM212" s="1708"/>
      <c r="FN212" s="1708"/>
      <c r="FO212" s="1708"/>
      <c r="FP212" s="1708"/>
      <c r="FQ212" s="1708"/>
      <c r="FR212" s="1708"/>
      <c r="FS212" s="1708"/>
      <c r="FT212" s="1708"/>
      <c r="FU212" s="1708"/>
      <c r="FV212" s="1708"/>
      <c r="FW212" s="1708"/>
      <c r="FX212" s="1708"/>
      <c r="FY212" s="1708"/>
      <c r="FZ212" s="1708"/>
      <c r="GA212" s="1708"/>
      <c r="GB212" s="1708"/>
      <c r="GC212" s="1708"/>
      <c r="GD212" s="1708"/>
      <c r="GE212" s="1708"/>
      <c r="GF212" s="1708"/>
      <c r="GG212" s="1708"/>
      <c r="GH212" s="1708"/>
      <c r="GI212" s="1708"/>
      <c r="GJ212" s="1708"/>
      <c r="GK212" s="1708"/>
      <c r="GL212" s="1708"/>
      <c r="GM212" s="1708"/>
      <c r="GN212" s="1708"/>
      <c r="GO212" s="1708"/>
      <c r="GP212" s="1708"/>
      <c r="GQ212" s="1708"/>
      <c r="GR212" s="1708"/>
      <c r="GS212" s="1708"/>
      <c r="GT212" s="1708"/>
      <c r="GU212" s="1708"/>
      <c r="GV212" s="1708"/>
      <c r="GW212" s="1708"/>
      <c r="GX212" s="1708"/>
      <c r="GY212" s="1708"/>
      <c r="GZ212" s="1708"/>
      <c r="HA212" s="1708"/>
      <c r="HB212" s="1708"/>
      <c r="HC212" s="1708"/>
      <c r="HD212" s="1708"/>
      <c r="HE212" s="1708"/>
      <c r="HF212" s="1708"/>
      <c r="HG212" s="1708"/>
      <c r="HH212" s="1708"/>
      <c r="HI212" s="1708"/>
      <c r="HJ212" s="1708"/>
      <c r="HK212" s="1708"/>
      <c r="HL212" s="1708"/>
      <c r="HM212" s="1708"/>
      <c r="HN212" s="1708"/>
      <c r="HO212" s="1708"/>
      <c r="HP212" s="1708"/>
      <c r="HQ212" s="1708"/>
      <c r="HR212" s="1708"/>
      <c r="HS212" s="1708"/>
      <c r="HT212" s="1708"/>
      <c r="HU212" s="1708"/>
      <c r="HV212" s="1708"/>
      <c r="HW212" s="1708"/>
      <c r="HX212" s="1708"/>
      <c r="HY212" s="1708"/>
      <c r="HZ212" s="1708"/>
      <c r="IA212" s="1708"/>
      <c r="IB212" s="1708"/>
      <c r="IC212" s="1708"/>
      <c r="ID212" s="1708"/>
      <c r="IE212" s="1708"/>
      <c r="IF212" s="1708"/>
      <c r="IG212" s="1708"/>
      <c r="IH212" s="1708"/>
      <c r="II212" s="1708"/>
      <c r="IJ212" s="1708"/>
      <c r="IK212" s="1708"/>
      <c r="IL212" s="1708"/>
      <c r="IM212" s="1708"/>
      <c r="IN212" s="1708"/>
      <c r="IO212" s="1708"/>
      <c r="IP212" s="1708"/>
      <c r="IQ212" s="1708"/>
      <c r="IR212" s="1708"/>
      <c r="IS212" s="1708"/>
      <c r="IT212" s="1708"/>
      <c r="IU212" s="1708"/>
      <c r="IV212" s="1708"/>
    </row>
    <row r="213" spans="2:256" s="57" customFormat="1" x14ac:dyDescent="0.25">
      <c r="B213" s="1836"/>
      <c r="G213" s="1849"/>
      <c r="J213" s="1850"/>
      <c r="K213" s="1850"/>
      <c r="S213" s="1708"/>
      <c r="T213" s="1708"/>
      <c r="U213" s="1708"/>
      <c r="V213" s="1708"/>
      <c r="W213" s="1708"/>
      <c r="X213" s="1708"/>
      <c r="Y213" s="1708"/>
      <c r="Z213" s="1708"/>
      <c r="AA213" s="1708"/>
      <c r="AB213" s="1708"/>
      <c r="AC213" s="1708"/>
      <c r="AD213" s="1708"/>
      <c r="AE213" s="1708"/>
      <c r="AF213" s="1708"/>
      <c r="AG213" s="1708"/>
      <c r="AH213" s="1708"/>
      <c r="AI213" s="1708"/>
      <c r="AJ213" s="1708"/>
      <c r="AK213" s="1708"/>
      <c r="AL213" s="1708"/>
      <c r="AM213" s="1708"/>
      <c r="AN213" s="1708"/>
      <c r="AO213" s="1708"/>
      <c r="AP213" s="1708"/>
      <c r="AQ213" s="1708"/>
      <c r="AR213" s="1708"/>
      <c r="AS213" s="1708"/>
      <c r="AT213" s="1708"/>
      <c r="AU213" s="1708"/>
      <c r="AV213" s="1708"/>
      <c r="AW213" s="1708"/>
      <c r="AX213" s="1708"/>
      <c r="AY213" s="1708"/>
      <c r="AZ213" s="1708"/>
      <c r="BA213" s="1708"/>
      <c r="BB213" s="1708"/>
      <c r="BC213" s="1708"/>
      <c r="BD213" s="1708"/>
      <c r="BE213" s="1708"/>
      <c r="BF213" s="1708"/>
      <c r="BG213" s="1708"/>
      <c r="BH213" s="1708"/>
      <c r="BI213" s="1708"/>
      <c r="BJ213" s="1708"/>
      <c r="BK213" s="1708"/>
      <c r="BL213" s="1708"/>
      <c r="BM213" s="1708"/>
      <c r="BN213" s="1708"/>
      <c r="BO213" s="1708"/>
      <c r="BP213" s="1708"/>
      <c r="BQ213" s="1708"/>
      <c r="BR213" s="1708"/>
      <c r="BS213" s="1708"/>
      <c r="BT213" s="1708"/>
      <c r="BU213" s="1708"/>
      <c r="BV213" s="1708"/>
      <c r="BW213" s="1708"/>
      <c r="BX213" s="1708"/>
      <c r="BY213" s="1708"/>
      <c r="BZ213" s="1708"/>
      <c r="CA213" s="1708"/>
      <c r="CB213" s="1708"/>
      <c r="CC213" s="1708"/>
      <c r="CD213" s="1708"/>
      <c r="CE213" s="1708"/>
      <c r="CF213" s="1708"/>
      <c r="CG213" s="1708"/>
      <c r="CH213" s="1708"/>
      <c r="CI213" s="1708"/>
      <c r="CJ213" s="1708"/>
      <c r="CK213" s="1708"/>
      <c r="CL213" s="1708"/>
      <c r="CM213" s="1708"/>
      <c r="CN213" s="1708"/>
      <c r="CO213" s="1708"/>
      <c r="CP213" s="1708"/>
      <c r="CQ213" s="1708"/>
      <c r="CR213" s="1708"/>
      <c r="CS213" s="1708"/>
      <c r="CT213" s="1708"/>
      <c r="CU213" s="1708"/>
      <c r="CV213" s="1708"/>
      <c r="CW213" s="1708"/>
      <c r="CX213" s="1708"/>
      <c r="CY213" s="1708"/>
      <c r="CZ213" s="1708"/>
      <c r="DA213" s="1708"/>
      <c r="DB213" s="1708"/>
      <c r="DC213" s="1708"/>
      <c r="DD213" s="1708"/>
      <c r="DE213" s="1708"/>
      <c r="DF213" s="1708"/>
      <c r="DG213" s="1708"/>
      <c r="DH213" s="1708"/>
      <c r="DI213" s="1708"/>
      <c r="DJ213" s="1708"/>
      <c r="DK213" s="1708"/>
      <c r="DL213" s="1708"/>
      <c r="DM213" s="1708"/>
      <c r="DN213" s="1708"/>
      <c r="DO213" s="1708"/>
      <c r="DP213" s="1708"/>
      <c r="DQ213" s="1708"/>
      <c r="DR213" s="1708"/>
      <c r="DS213" s="1708"/>
      <c r="DT213" s="1708"/>
      <c r="DU213" s="1708"/>
      <c r="DV213" s="1708"/>
      <c r="DW213" s="1708"/>
      <c r="DX213" s="1708"/>
      <c r="DY213" s="1708"/>
      <c r="DZ213" s="1708"/>
      <c r="EA213" s="1708"/>
      <c r="EB213" s="1708"/>
      <c r="EC213" s="1708"/>
      <c r="ED213" s="1708"/>
      <c r="EE213" s="1708"/>
      <c r="EF213" s="1708"/>
      <c r="EG213" s="1708"/>
      <c r="EH213" s="1708"/>
      <c r="EI213" s="1708"/>
      <c r="EJ213" s="1708"/>
      <c r="EK213" s="1708"/>
      <c r="EL213" s="1708"/>
      <c r="EM213" s="1708"/>
      <c r="EN213" s="1708"/>
      <c r="EO213" s="1708"/>
      <c r="EP213" s="1708"/>
      <c r="EQ213" s="1708"/>
      <c r="ER213" s="1708"/>
      <c r="ES213" s="1708"/>
      <c r="ET213" s="1708"/>
      <c r="EU213" s="1708"/>
      <c r="EV213" s="1708"/>
      <c r="EW213" s="1708"/>
      <c r="EX213" s="1708"/>
      <c r="EY213" s="1708"/>
      <c r="EZ213" s="1708"/>
      <c r="FA213" s="1708"/>
      <c r="FB213" s="1708"/>
      <c r="FC213" s="1708"/>
      <c r="FD213" s="1708"/>
      <c r="FE213" s="1708"/>
      <c r="FF213" s="1708"/>
      <c r="FG213" s="1708"/>
      <c r="FH213" s="1708"/>
      <c r="FI213" s="1708"/>
      <c r="FJ213" s="1708"/>
      <c r="FK213" s="1708"/>
      <c r="FL213" s="1708"/>
      <c r="FM213" s="1708"/>
      <c r="FN213" s="1708"/>
      <c r="FO213" s="1708"/>
      <c r="FP213" s="1708"/>
      <c r="FQ213" s="1708"/>
      <c r="FR213" s="1708"/>
      <c r="FS213" s="1708"/>
      <c r="FT213" s="1708"/>
      <c r="FU213" s="1708"/>
      <c r="FV213" s="1708"/>
      <c r="FW213" s="1708"/>
      <c r="FX213" s="1708"/>
      <c r="FY213" s="1708"/>
      <c r="FZ213" s="1708"/>
      <c r="GA213" s="1708"/>
      <c r="GB213" s="1708"/>
      <c r="GC213" s="1708"/>
      <c r="GD213" s="1708"/>
      <c r="GE213" s="1708"/>
      <c r="GF213" s="1708"/>
      <c r="GG213" s="1708"/>
      <c r="GH213" s="1708"/>
      <c r="GI213" s="1708"/>
      <c r="GJ213" s="1708"/>
      <c r="GK213" s="1708"/>
      <c r="GL213" s="1708"/>
      <c r="GM213" s="1708"/>
      <c r="GN213" s="1708"/>
      <c r="GO213" s="1708"/>
      <c r="GP213" s="1708"/>
      <c r="GQ213" s="1708"/>
      <c r="GR213" s="1708"/>
      <c r="GS213" s="1708"/>
      <c r="GT213" s="1708"/>
      <c r="GU213" s="1708"/>
      <c r="GV213" s="1708"/>
      <c r="GW213" s="1708"/>
      <c r="GX213" s="1708"/>
      <c r="GY213" s="1708"/>
      <c r="GZ213" s="1708"/>
      <c r="HA213" s="1708"/>
      <c r="HB213" s="1708"/>
      <c r="HC213" s="1708"/>
      <c r="HD213" s="1708"/>
      <c r="HE213" s="1708"/>
      <c r="HF213" s="1708"/>
      <c r="HG213" s="1708"/>
      <c r="HH213" s="1708"/>
      <c r="HI213" s="1708"/>
      <c r="HJ213" s="1708"/>
      <c r="HK213" s="1708"/>
      <c r="HL213" s="1708"/>
      <c r="HM213" s="1708"/>
      <c r="HN213" s="1708"/>
      <c r="HO213" s="1708"/>
      <c r="HP213" s="1708"/>
      <c r="HQ213" s="1708"/>
      <c r="HR213" s="1708"/>
      <c r="HS213" s="1708"/>
      <c r="HT213" s="1708"/>
      <c r="HU213" s="1708"/>
      <c r="HV213" s="1708"/>
      <c r="HW213" s="1708"/>
      <c r="HX213" s="1708"/>
      <c r="HY213" s="1708"/>
      <c r="HZ213" s="1708"/>
      <c r="IA213" s="1708"/>
      <c r="IB213" s="1708"/>
      <c r="IC213" s="1708"/>
      <c r="ID213" s="1708"/>
      <c r="IE213" s="1708"/>
      <c r="IF213" s="1708"/>
      <c r="IG213" s="1708"/>
      <c r="IH213" s="1708"/>
      <c r="II213" s="1708"/>
      <c r="IJ213" s="1708"/>
      <c r="IK213" s="1708"/>
      <c r="IL213" s="1708"/>
      <c r="IM213" s="1708"/>
      <c r="IN213" s="1708"/>
      <c r="IO213" s="1708"/>
      <c r="IP213" s="1708"/>
      <c r="IQ213" s="1708"/>
      <c r="IR213" s="1708"/>
      <c r="IS213" s="1708"/>
      <c r="IT213" s="1708"/>
      <c r="IU213" s="1708"/>
      <c r="IV213" s="1708"/>
    </row>
    <row r="214" spans="2:256" s="57" customFormat="1" x14ac:dyDescent="0.25">
      <c r="B214" s="1836"/>
      <c r="G214" s="1849"/>
      <c r="J214" s="1850"/>
      <c r="K214" s="1850"/>
      <c r="S214" s="1708"/>
      <c r="T214" s="1708"/>
      <c r="U214" s="1708"/>
      <c r="V214" s="1708"/>
      <c r="W214" s="1708"/>
      <c r="X214" s="1708"/>
      <c r="Y214" s="1708"/>
      <c r="Z214" s="1708"/>
      <c r="AA214" s="1708"/>
      <c r="AB214" s="1708"/>
      <c r="AC214" s="1708"/>
      <c r="AD214" s="1708"/>
      <c r="AE214" s="1708"/>
      <c r="AF214" s="1708"/>
      <c r="AG214" s="1708"/>
      <c r="AH214" s="1708"/>
      <c r="AI214" s="1708"/>
      <c r="AJ214" s="1708"/>
      <c r="AK214" s="1708"/>
      <c r="AL214" s="1708"/>
      <c r="AM214" s="1708"/>
      <c r="AN214" s="1708"/>
      <c r="AO214" s="1708"/>
      <c r="AP214" s="1708"/>
      <c r="AQ214" s="1708"/>
      <c r="AR214" s="1708"/>
      <c r="AS214" s="1708"/>
      <c r="AT214" s="1708"/>
      <c r="AU214" s="1708"/>
      <c r="AV214" s="1708"/>
      <c r="AW214" s="1708"/>
      <c r="AX214" s="1708"/>
      <c r="AY214" s="1708"/>
      <c r="AZ214" s="1708"/>
      <c r="BA214" s="1708"/>
      <c r="BB214" s="1708"/>
      <c r="BC214" s="1708"/>
      <c r="BD214" s="1708"/>
      <c r="BE214" s="1708"/>
      <c r="BF214" s="1708"/>
      <c r="BG214" s="1708"/>
      <c r="BH214" s="1708"/>
      <c r="BI214" s="1708"/>
      <c r="BJ214" s="1708"/>
      <c r="BK214" s="1708"/>
      <c r="BL214" s="1708"/>
      <c r="BM214" s="1708"/>
      <c r="BN214" s="1708"/>
      <c r="BO214" s="1708"/>
      <c r="BP214" s="1708"/>
      <c r="BQ214" s="1708"/>
      <c r="BR214" s="1708"/>
      <c r="BS214" s="1708"/>
      <c r="BT214" s="1708"/>
      <c r="BU214" s="1708"/>
      <c r="BV214" s="1708"/>
      <c r="BW214" s="1708"/>
      <c r="BX214" s="1708"/>
      <c r="BY214" s="1708"/>
      <c r="BZ214" s="1708"/>
      <c r="CA214" s="1708"/>
      <c r="CB214" s="1708"/>
      <c r="CC214" s="1708"/>
      <c r="CD214" s="1708"/>
      <c r="CE214" s="1708"/>
      <c r="CF214" s="1708"/>
      <c r="CG214" s="1708"/>
      <c r="CH214" s="1708"/>
      <c r="CI214" s="1708"/>
      <c r="CJ214" s="1708"/>
      <c r="CK214" s="1708"/>
      <c r="CL214" s="1708"/>
      <c r="CM214" s="1708"/>
      <c r="CN214" s="1708"/>
      <c r="CO214" s="1708"/>
      <c r="CP214" s="1708"/>
      <c r="CQ214" s="1708"/>
      <c r="CR214" s="1708"/>
      <c r="CS214" s="1708"/>
      <c r="CT214" s="1708"/>
      <c r="CU214" s="1708"/>
      <c r="CV214" s="1708"/>
      <c r="CW214" s="1708"/>
      <c r="CX214" s="1708"/>
      <c r="CY214" s="1708"/>
      <c r="CZ214" s="1708"/>
      <c r="DA214" s="1708"/>
      <c r="DB214" s="1708"/>
      <c r="DC214" s="1708"/>
      <c r="DD214" s="1708"/>
      <c r="DE214" s="1708"/>
      <c r="DF214" s="1708"/>
      <c r="DG214" s="1708"/>
      <c r="DH214" s="1708"/>
      <c r="DI214" s="1708"/>
      <c r="DJ214" s="1708"/>
      <c r="DK214" s="1708"/>
      <c r="DL214" s="1708"/>
      <c r="DM214" s="1708"/>
      <c r="DN214" s="1708"/>
      <c r="DO214" s="1708"/>
      <c r="DP214" s="1708"/>
      <c r="DQ214" s="1708"/>
      <c r="DR214" s="1708"/>
      <c r="DS214" s="1708"/>
      <c r="DT214" s="1708"/>
      <c r="DU214" s="1708"/>
      <c r="DV214" s="1708"/>
      <c r="DW214" s="1708"/>
      <c r="DX214" s="1708"/>
      <c r="DY214" s="1708"/>
      <c r="DZ214" s="1708"/>
      <c r="EA214" s="1708"/>
      <c r="EB214" s="1708"/>
      <c r="EC214" s="1708"/>
      <c r="ED214" s="1708"/>
      <c r="EE214" s="1708"/>
      <c r="EF214" s="1708"/>
      <c r="EG214" s="1708"/>
      <c r="EH214" s="1708"/>
      <c r="EI214" s="1708"/>
      <c r="EJ214" s="1708"/>
      <c r="EK214" s="1708"/>
      <c r="EL214" s="1708"/>
      <c r="EM214" s="1708"/>
      <c r="EN214" s="1708"/>
      <c r="EO214" s="1708"/>
      <c r="EP214" s="1708"/>
      <c r="EQ214" s="1708"/>
      <c r="ER214" s="1708"/>
      <c r="ES214" s="1708"/>
      <c r="ET214" s="1708"/>
      <c r="EU214" s="1708"/>
      <c r="EV214" s="1708"/>
      <c r="EW214" s="1708"/>
      <c r="EX214" s="1708"/>
      <c r="EY214" s="1708"/>
      <c r="EZ214" s="1708"/>
      <c r="FA214" s="1708"/>
      <c r="FB214" s="1708"/>
      <c r="FC214" s="1708"/>
      <c r="FD214" s="1708"/>
      <c r="FE214" s="1708"/>
      <c r="FF214" s="1708"/>
      <c r="FG214" s="1708"/>
      <c r="FH214" s="1708"/>
      <c r="FI214" s="1708"/>
      <c r="FJ214" s="1708"/>
      <c r="FK214" s="1708"/>
      <c r="FL214" s="1708"/>
      <c r="FM214" s="1708"/>
      <c r="FN214" s="1708"/>
      <c r="FO214" s="1708"/>
      <c r="FP214" s="1708"/>
      <c r="FQ214" s="1708"/>
      <c r="FR214" s="1708"/>
      <c r="FS214" s="1708"/>
      <c r="FT214" s="1708"/>
      <c r="FU214" s="1708"/>
      <c r="FV214" s="1708"/>
      <c r="FW214" s="1708"/>
      <c r="FX214" s="1708"/>
      <c r="FY214" s="1708"/>
      <c r="FZ214" s="1708"/>
      <c r="GA214" s="1708"/>
      <c r="GB214" s="1708"/>
      <c r="GC214" s="1708"/>
      <c r="GD214" s="1708"/>
      <c r="GE214" s="1708"/>
      <c r="GF214" s="1708"/>
      <c r="GG214" s="1708"/>
      <c r="GH214" s="1708"/>
      <c r="GI214" s="1708"/>
      <c r="GJ214" s="1708"/>
      <c r="GK214" s="1708"/>
      <c r="GL214" s="1708"/>
      <c r="GM214" s="1708"/>
      <c r="GN214" s="1708"/>
      <c r="GO214" s="1708"/>
      <c r="GP214" s="1708"/>
      <c r="GQ214" s="1708"/>
      <c r="GR214" s="1708"/>
      <c r="GS214" s="1708"/>
      <c r="GT214" s="1708"/>
      <c r="GU214" s="1708"/>
      <c r="GV214" s="1708"/>
      <c r="GW214" s="1708"/>
      <c r="GX214" s="1708"/>
      <c r="GY214" s="1708"/>
      <c r="GZ214" s="1708"/>
      <c r="HA214" s="1708"/>
      <c r="HB214" s="1708"/>
      <c r="HC214" s="1708"/>
      <c r="HD214" s="1708"/>
      <c r="HE214" s="1708"/>
      <c r="HF214" s="1708"/>
      <c r="HG214" s="1708"/>
      <c r="HH214" s="1708"/>
      <c r="HI214" s="1708"/>
      <c r="HJ214" s="1708"/>
      <c r="HK214" s="1708"/>
      <c r="HL214" s="1708"/>
      <c r="HM214" s="1708"/>
      <c r="HN214" s="1708"/>
      <c r="HO214" s="1708"/>
      <c r="HP214" s="1708"/>
      <c r="HQ214" s="1708"/>
      <c r="HR214" s="1708"/>
      <c r="HS214" s="1708"/>
      <c r="HT214" s="1708"/>
      <c r="HU214" s="1708"/>
      <c r="HV214" s="1708"/>
      <c r="HW214" s="1708"/>
      <c r="HX214" s="1708"/>
      <c r="HY214" s="1708"/>
      <c r="HZ214" s="1708"/>
      <c r="IA214" s="1708"/>
      <c r="IB214" s="1708"/>
      <c r="IC214" s="1708"/>
      <c r="ID214" s="1708"/>
      <c r="IE214" s="1708"/>
      <c r="IF214" s="1708"/>
      <c r="IG214" s="1708"/>
      <c r="IH214" s="1708"/>
      <c r="II214" s="1708"/>
      <c r="IJ214" s="1708"/>
      <c r="IK214" s="1708"/>
      <c r="IL214" s="1708"/>
      <c r="IM214" s="1708"/>
      <c r="IN214" s="1708"/>
      <c r="IO214" s="1708"/>
      <c r="IP214" s="1708"/>
      <c r="IQ214" s="1708"/>
      <c r="IR214" s="1708"/>
      <c r="IS214" s="1708"/>
      <c r="IT214" s="1708"/>
      <c r="IU214" s="1708"/>
      <c r="IV214" s="1708"/>
    </row>
    <row r="215" spans="2:256" s="57" customFormat="1" x14ac:dyDescent="0.25">
      <c r="B215" s="1836"/>
      <c r="G215" s="1849"/>
      <c r="J215" s="1850"/>
      <c r="K215" s="1850"/>
      <c r="S215" s="1708"/>
      <c r="T215" s="1708"/>
      <c r="U215" s="1708"/>
      <c r="V215" s="1708"/>
      <c r="W215" s="1708"/>
      <c r="X215" s="1708"/>
      <c r="Y215" s="1708"/>
      <c r="Z215" s="1708"/>
      <c r="AA215" s="1708"/>
      <c r="AB215" s="1708"/>
      <c r="AC215" s="1708"/>
      <c r="AD215" s="1708"/>
      <c r="AE215" s="1708"/>
      <c r="AF215" s="1708"/>
      <c r="AG215" s="1708"/>
      <c r="AH215" s="1708"/>
      <c r="AI215" s="1708"/>
      <c r="AJ215" s="1708"/>
      <c r="AK215" s="1708"/>
      <c r="AL215" s="1708"/>
      <c r="AM215" s="1708"/>
      <c r="AN215" s="1708"/>
      <c r="AO215" s="1708"/>
      <c r="AP215" s="1708"/>
      <c r="AQ215" s="1708"/>
      <c r="AR215" s="1708"/>
      <c r="AS215" s="1708"/>
      <c r="AT215" s="1708"/>
      <c r="AU215" s="1708"/>
      <c r="AV215" s="1708"/>
      <c r="AW215" s="1708"/>
      <c r="AX215" s="1708"/>
      <c r="AY215" s="1708"/>
      <c r="AZ215" s="1708"/>
      <c r="BA215" s="1708"/>
      <c r="BB215" s="1708"/>
      <c r="BC215" s="1708"/>
      <c r="BD215" s="1708"/>
      <c r="BE215" s="1708"/>
      <c r="BF215" s="1708"/>
      <c r="BG215" s="1708"/>
      <c r="BH215" s="1708"/>
      <c r="BI215" s="1708"/>
      <c r="BJ215" s="1708"/>
      <c r="BK215" s="1708"/>
      <c r="BL215" s="1708"/>
      <c r="BM215" s="1708"/>
      <c r="BN215" s="1708"/>
      <c r="BO215" s="1708"/>
      <c r="BP215" s="1708"/>
      <c r="BQ215" s="1708"/>
      <c r="BR215" s="1708"/>
      <c r="BS215" s="1708"/>
      <c r="BT215" s="1708"/>
      <c r="BU215" s="1708"/>
      <c r="BV215" s="1708"/>
      <c r="BW215" s="1708"/>
      <c r="BX215" s="1708"/>
      <c r="BY215" s="1708"/>
      <c r="BZ215" s="1708"/>
      <c r="CA215" s="1708"/>
      <c r="CB215" s="1708"/>
      <c r="CC215" s="1708"/>
      <c r="CD215" s="1708"/>
      <c r="CE215" s="1708"/>
      <c r="CF215" s="1708"/>
      <c r="CG215" s="1708"/>
      <c r="CH215" s="1708"/>
      <c r="CI215" s="1708"/>
      <c r="CJ215" s="1708"/>
      <c r="CK215" s="1708"/>
      <c r="CL215" s="1708"/>
      <c r="CM215" s="1708"/>
      <c r="CN215" s="1708"/>
      <c r="CO215" s="1708"/>
      <c r="CP215" s="1708"/>
      <c r="CQ215" s="1708"/>
      <c r="CR215" s="1708"/>
      <c r="CS215" s="1708"/>
      <c r="CT215" s="1708"/>
      <c r="CU215" s="1708"/>
      <c r="CV215" s="1708"/>
      <c r="CW215" s="1708"/>
      <c r="CX215" s="1708"/>
      <c r="CY215" s="1708"/>
      <c r="CZ215" s="1708"/>
      <c r="DA215" s="1708"/>
      <c r="DB215" s="1708"/>
      <c r="DC215" s="1708"/>
      <c r="DD215" s="1708"/>
      <c r="DE215" s="1708"/>
      <c r="DF215" s="1708"/>
      <c r="DG215" s="1708"/>
      <c r="DH215" s="1708"/>
      <c r="DI215" s="1708"/>
      <c r="DJ215" s="1708"/>
      <c r="DK215" s="1708"/>
      <c r="DL215" s="1708"/>
      <c r="DM215" s="1708"/>
      <c r="DN215" s="1708"/>
      <c r="DO215" s="1708"/>
      <c r="DP215" s="1708"/>
      <c r="DQ215" s="1708"/>
      <c r="DR215" s="1708"/>
      <c r="DS215" s="1708"/>
      <c r="DT215" s="1708"/>
      <c r="DU215" s="1708"/>
      <c r="DV215" s="1708"/>
      <c r="DW215" s="1708"/>
      <c r="DX215" s="1708"/>
      <c r="DY215" s="1708"/>
      <c r="DZ215" s="1708"/>
      <c r="EA215" s="1708"/>
      <c r="EB215" s="1708"/>
      <c r="EC215" s="1708"/>
      <c r="ED215" s="1708"/>
      <c r="EE215" s="1708"/>
      <c r="EF215" s="1708"/>
      <c r="EG215" s="1708"/>
      <c r="EH215" s="1708"/>
      <c r="EI215" s="1708"/>
      <c r="EJ215" s="1708"/>
      <c r="EK215" s="1708"/>
      <c r="EL215" s="1708"/>
      <c r="EM215" s="1708"/>
      <c r="EN215" s="1708"/>
      <c r="EO215" s="1708"/>
      <c r="EP215" s="1708"/>
      <c r="EQ215" s="1708"/>
      <c r="ER215" s="1708"/>
      <c r="ES215" s="1708"/>
      <c r="ET215" s="1708"/>
      <c r="EU215" s="1708"/>
      <c r="EV215" s="1708"/>
      <c r="EW215" s="1708"/>
      <c r="EX215" s="1708"/>
      <c r="EY215" s="1708"/>
      <c r="EZ215" s="1708"/>
      <c r="FA215" s="1708"/>
      <c r="FB215" s="1708"/>
      <c r="FC215" s="1708"/>
      <c r="FD215" s="1708"/>
      <c r="FE215" s="1708"/>
      <c r="FF215" s="1708"/>
      <c r="FG215" s="1708"/>
      <c r="FH215" s="1708"/>
      <c r="FI215" s="1708"/>
      <c r="FJ215" s="1708"/>
      <c r="FK215" s="1708"/>
      <c r="FL215" s="1708"/>
      <c r="FM215" s="1708"/>
      <c r="FN215" s="1708"/>
      <c r="FO215" s="1708"/>
      <c r="FP215" s="1708"/>
      <c r="FQ215" s="1708"/>
      <c r="FR215" s="1708"/>
      <c r="FS215" s="1708"/>
      <c r="FT215" s="1708"/>
      <c r="FU215" s="1708"/>
      <c r="FV215" s="1708"/>
      <c r="FW215" s="1708"/>
      <c r="FX215" s="1708"/>
      <c r="FY215" s="1708"/>
      <c r="FZ215" s="1708"/>
      <c r="GA215" s="1708"/>
      <c r="GB215" s="1708"/>
      <c r="GC215" s="1708"/>
      <c r="GD215" s="1708"/>
      <c r="GE215" s="1708"/>
      <c r="GF215" s="1708"/>
      <c r="GG215" s="1708"/>
      <c r="GH215" s="1708"/>
      <c r="GI215" s="1708"/>
      <c r="GJ215" s="1708"/>
      <c r="GK215" s="1708"/>
      <c r="GL215" s="1708"/>
      <c r="GM215" s="1708"/>
      <c r="GN215" s="1708"/>
      <c r="GO215" s="1708"/>
      <c r="GP215" s="1708"/>
      <c r="GQ215" s="1708"/>
      <c r="GR215" s="1708"/>
      <c r="GS215" s="1708"/>
      <c r="GT215" s="1708"/>
      <c r="GU215" s="1708"/>
      <c r="GV215" s="1708"/>
      <c r="GW215" s="1708"/>
      <c r="GX215" s="1708"/>
      <c r="GY215" s="1708"/>
      <c r="GZ215" s="1708"/>
      <c r="HA215" s="1708"/>
      <c r="HB215" s="1708"/>
      <c r="HC215" s="1708"/>
      <c r="HD215" s="1708"/>
      <c r="HE215" s="1708"/>
      <c r="HF215" s="1708"/>
      <c r="HG215" s="1708"/>
      <c r="HH215" s="1708"/>
      <c r="HI215" s="1708"/>
      <c r="HJ215" s="1708"/>
      <c r="HK215" s="1708"/>
      <c r="HL215" s="1708"/>
      <c r="HM215" s="1708"/>
      <c r="HN215" s="1708"/>
      <c r="HO215" s="1708"/>
      <c r="HP215" s="1708"/>
      <c r="HQ215" s="1708"/>
      <c r="HR215" s="1708"/>
      <c r="HS215" s="1708"/>
      <c r="HT215" s="1708"/>
      <c r="HU215" s="1708"/>
      <c r="HV215" s="1708"/>
      <c r="HW215" s="1708"/>
      <c r="HX215" s="1708"/>
      <c r="HY215" s="1708"/>
      <c r="HZ215" s="1708"/>
      <c r="IA215" s="1708"/>
      <c r="IB215" s="1708"/>
      <c r="IC215" s="1708"/>
      <c r="ID215" s="1708"/>
      <c r="IE215" s="1708"/>
      <c r="IF215" s="1708"/>
      <c r="IG215" s="1708"/>
      <c r="IH215" s="1708"/>
      <c r="II215" s="1708"/>
      <c r="IJ215" s="1708"/>
      <c r="IK215" s="1708"/>
      <c r="IL215" s="1708"/>
      <c r="IM215" s="1708"/>
      <c r="IN215" s="1708"/>
      <c r="IO215" s="1708"/>
      <c r="IP215" s="1708"/>
      <c r="IQ215" s="1708"/>
      <c r="IR215" s="1708"/>
      <c r="IS215" s="1708"/>
      <c r="IT215" s="1708"/>
      <c r="IU215" s="1708"/>
      <c r="IV215" s="1708"/>
    </row>
    <row r="216" spans="2:256" s="57" customFormat="1" x14ac:dyDescent="0.25">
      <c r="B216" s="1836"/>
      <c r="G216" s="1849"/>
      <c r="J216" s="1850"/>
      <c r="K216" s="1850"/>
      <c r="S216" s="1708"/>
      <c r="T216" s="1708"/>
      <c r="U216" s="1708"/>
      <c r="V216" s="1708"/>
      <c r="W216" s="1708"/>
      <c r="X216" s="1708"/>
      <c r="Y216" s="1708"/>
      <c r="Z216" s="1708"/>
      <c r="AA216" s="1708"/>
      <c r="AB216" s="1708"/>
      <c r="AC216" s="1708"/>
      <c r="AD216" s="1708"/>
      <c r="AE216" s="1708"/>
      <c r="AF216" s="1708"/>
      <c r="AG216" s="1708"/>
      <c r="AH216" s="1708"/>
      <c r="AI216" s="1708"/>
      <c r="AJ216" s="1708"/>
      <c r="AK216" s="1708"/>
      <c r="AL216" s="1708"/>
      <c r="AM216" s="1708"/>
      <c r="AN216" s="1708"/>
      <c r="AO216" s="1708"/>
      <c r="AP216" s="1708"/>
      <c r="AQ216" s="1708"/>
      <c r="AR216" s="1708"/>
      <c r="AS216" s="1708"/>
      <c r="AT216" s="1708"/>
      <c r="AU216" s="1708"/>
      <c r="AV216" s="1708"/>
      <c r="AW216" s="1708"/>
      <c r="AX216" s="1708"/>
      <c r="AY216" s="1708"/>
      <c r="AZ216" s="1708"/>
      <c r="BA216" s="1708"/>
      <c r="BB216" s="1708"/>
      <c r="BC216" s="1708"/>
      <c r="BD216" s="1708"/>
      <c r="BE216" s="1708"/>
      <c r="BF216" s="1708"/>
      <c r="BG216" s="1708"/>
      <c r="BH216" s="1708"/>
      <c r="BI216" s="1708"/>
      <c r="BJ216" s="1708"/>
      <c r="BK216" s="1708"/>
      <c r="BL216" s="1708"/>
      <c r="BM216" s="1708"/>
      <c r="BN216" s="1708"/>
      <c r="BO216" s="1708"/>
      <c r="BP216" s="1708"/>
      <c r="BQ216" s="1708"/>
      <c r="BR216" s="1708"/>
      <c r="BS216" s="1708"/>
      <c r="BT216" s="1708"/>
      <c r="BU216" s="1708"/>
      <c r="BV216" s="1708"/>
      <c r="BW216" s="1708"/>
      <c r="BX216" s="1708"/>
      <c r="BY216" s="1708"/>
      <c r="BZ216" s="1708"/>
      <c r="CA216" s="1708"/>
      <c r="CB216" s="1708"/>
      <c r="CC216" s="1708"/>
      <c r="CD216" s="1708"/>
      <c r="CE216" s="1708"/>
      <c r="CF216" s="1708"/>
      <c r="CG216" s="1708"/>
      <c r="CH216" s="1708"/>
      <c r="CI216" s="1708"/>
      <c r="CJ216" s="1708"/>
      <c r="CK216" s="1708"/>
      <c r="CL216" s="1708"/>
      <c r="CM216" s="1708"/>
      <c r="CN216" s="1708"/>
      <c r="CO216" s="1708"/>
      <c r="CP216" s="1708"/>
      <c r="CQ216" s="1708"/>
      <c r="CR216" s="1708"/>
      <c r="CS216" s="1708"/>
      <c r="CT216" s="1708"/>
      <c r="CU216" s="1708"/>
      <c r="CV216" s="1708"/>
      <c r="CW216" s="1708"/>
      <c r="CX216" s="1708"/>
      <c r="CY216" s="1708"/>
      <c r="CZ216" s="1708"/>
      <c r="DA216" s="1708"/>
      <c r="DB216" s="1708"/>
      <c r="DC216" s="1708"/>
      <c r="DD216" s="1708"/>
      <c r="DE216" s="1708"/>
      <c r="DF216" s="1708"/>
      <c r="DG216" s="1708"/>
      <c r="DH216" s="1708"/>
      <c r="DI216" s="1708"/>
      <c r="DJ216" s="1708"/>
      <c r="DK216" s="1708"/>
      <c r="DL216" s="1708"/>
      <c r="DM216" s="1708"/>
      <c r="DN216" s="1708"/>
      <c r="DO216" s="1708"/>
      <c r="DP216" s="1708"/>
      <c r="DQ216" s="1708"/>
      <c r="DR216" s="1708"/>
      <c r="DS216" s="1708"/>
      <c r="DT216" s="1708"/>
      <c r="DU216" s="1708"/>
      <c r="DV216" s="1708"/>
      <c r="DW216" s="1708"/>
      <c r="DX216" s="1708"/>
      <c r="DY216" s="1708"/>
      <c r="DZ216" s="1708"/>
      <c r="EA216" s="1708"/>
      <c r="EB216" s="1708"/>
      <c r="EC216" s="1708"/>
      <c r="ED216" s="1708"/>
      <c r="EE216" s="1708"/>
      <c r="EF216" s="1708"/>
      <c r="EG216" s="1708"/>
      <c r="EH216" s="1708"/>
      <c r="EI216" s="1708"/>
      <c r="EJ216" s="1708"/>
      <c r="EK216" s="1708"/>
      <c r="EL216" s="1708"/>
      <c r="EM216" s="1708"/>
      <c r="EN216" s="1708"/>
      <c r="EO216" s="1708"/>
      <c r="EP216" s="1708"/>
      <c r="EQ216" s="1708"/>
      <c r="ER216" s="1708"/>
      <c r="ES216" s="1708"/>
      <c r="ET216" s="1708"/>
      <c r="EU216" s="1708"/>
      <c r="EV216" s="1708"/>
      <c r="EW216" s="1708"/>
      <c r="EX216" s="1708"/>
      <c r="EY216" s="1708"/>
      <c r="EZ216" s="1708"/>
      <c r="FA216" s="1708"/>
      <c r="FB216" s="1708"/>
      <c r="FC216" s="1708"/>
      <c r="FD216" s="1708"/>
      <c r="FE216" s="1708"/>
      <c r="FF216" s="1708"/>
      <c r="FG216" s="1708"/>
      <c r="FH216" s="1708"/>
      <c r="FI216" s="1708"/>
      <c r="FJ216" s="1708"/>
      <c r="FK216" s="1708"/>
      <c r="FL216" s="1708"/>
      <c r="FM216" s="1708"/>
      <c r="FN216" s="1708"/>
      <c r="FO216" s="1708"/>
      <c r="FP216" s="1708"/>
      <c r="FQ216" s="1708"/>
      <c r="FR216" s="1708"/>
      <c r="FS216" s="1708"/>
      <c r="FT216" s="1708"/>
      <c r="FU216" s="1708"/>
      <c r="FV216" s="1708"/>
      <c r="FW216" s="1708"/>
      <c r="FX216" s="1708"/>
      <c r="FY216" s="1708"/>
      <c r="FZ216" s="1708"/>
      <c r="GA216" s="1708"/>
      <c r="GB216" s="1708"/>
      <c r="GC216" s="1708"/>
      <c r="GD216" s="1708"/>
      <c r="GE216" s="1708"/>
      <c r="GF216" s="1708"/>
      <c r="GG216" s="1708"/>
      <c r="GH216" s="1708"/>
      <c r="GI216" s="1708"/>
      <c r="GJ216" s="1708"/>
      <c r="GK216" s="1708"/>
      <c r="GL216" s="1708"/>
      <c r="GM216" s="1708"/>
      <c r="GN216" s="1708"/>
      <c r="GO216" s="1708"/>
      <c r="GP216" s="1708"/>
      <c r="GQ216" s="1708"/>
      <c r="GR216" s="1708"/>
      <c r="GS216" s="1708"/>
      <c r="GT216" s="1708"/>
      <c r="GU216" s="1708"/>
      <c r="GV216" s="1708"/>
      <c r="GW216" s="1708"/>
      <c r="GX216" s="1708"/>
      <c r="GY216" s="1708"/>
      <c r="GZ216" s="1708"/>
      <c r="HA216" s="1708"/>
      <c r="HB216" s="1708"/>
      <c r="HC216" s="1708"/>
      <c r="HD216" s="1708"/>
      <c r="HE216" s="1708"/>
      <c r="HF216" s="1708"/>
      <c r="HG216" s="1708"/>
      <c r="HH216" s="1708"/>
      <c r="HI216" s="1708"/>
      <c r="HJ216" s="1708"/>
      <c r="HK216" s="1708"/>
      <c r="HL216" s="1708"/>
      <c r="HM216" s="1708"/>
      <c r="HN216" s="1708"/>
      <c r="HO216" s="1708"/>
      <c r="HP216" s="1708"/>
      <c r="HQ216" s="1708"/>
      <c r="HR216" s="1708"/>
      <c r="HS216" s="1708"/>
      <c r="HT216" s="1708"/>
      <c r="HU216" s="1708"/>
      <c r="HV216" s="1708"/>
      <c r="HW216" s="1708"/>
      <c r="HX216" s="1708"/>
      <c r="HY216" s="1708"/>
      <c r="HZ216" s="1708"/>
      <c r="IA216" s="1708"/>
      <c r="IB216" s="1708"/>
      <c r="IC216" s="1708"/>
      <c r="ID216" s="1708"/>
      <c r="IE216" s="1708"/>
      <c r="IF216" s="1708"/>
      <c r="IG216" s="1708"/>
      <c r="IH216" s="1708"/>
      <c r="II216" s="1708"/>
      <c r="IJ216" s="1708"/>
      <c r="IK216" s="1708"/>
      <c r="IL216" s="1708"/>
      <c r="IM216" s="1708"/>
      <c r="IN216" s="1708"/>
      <c r="IO216" s="1708"/>
      <c r="IP216" s="1708"/>
      <c r="IQ216" s="1708"/>
      <c r="IR216" s="1708"/>
      <c r="IS216" s="1708"/>
      <c r="IT216" s="1708"/>
      <c r="IU216" s="1708"/>
      <c r="IV216" s="1708"/>
    </row>
    <row r="217" spans="2:256" s="57" customFormat="1" x14ac:dyDescent="0.25">
      <c r="B217" s="1836"/>
      <c r="G217" s="1849"/>
      <c r="J217" s="1850"/>
      <c r="K217" s="1850"/>
      <c r="S217" s="1708"/>
      <c r="T217" s="1708"/>
      <c r="U217" s="1708"/>
      <c r="V217" s="1708"/>
      <c r="W217" s="1708"/>
      <c r="X217" s="1708"/>
      <c r="Y217" s="1708"/>
      <c r="Z217" s="1708"/>
      <c r="AA217" s="1708"/>
      <c r="AB217" s="1708"/>
      <c r="AC217" s="1708"/>
      <c r="AD217" s="1708"/>
      <c r="AE217" s="1708"/>
      <c r="AF217" s="1708"/>
      <c r="AG217" s="1708"/>
      <c r="AH217" s="1708"/>
      <c r="AI217" s="1708"/>
      <c r="AJ217" s="1708"/>
      <c r="AK217" s="1708"/>
      <c r="AL217" s="1708"/>
      <c r="AM217" s="1708"/>
      <c r="AN217" s="1708"/>
      <c r="AO217" s="1708"/>
      <c r="AP217" s="1708"/>
      <c r="AQ217" s="1708"/>
      <c r="AR217" s="1708"/>
      <c r="AS217" s="1708"/>
      <c r="AT217" s="1708"/>
      <c r="AU217" s="1708"/>
      <c r="AV217" s="1708"/>
      <c r="AW217" s="1708"/>
      <c r="AX217" s="1708"/>
      <c r="AY217" s="1708"/>
      <c r="AZ217" s="1708"/>
      <c r="BA217" s="1708"/>
      <c r="BB217" s="1708"/>
      <c r="BC217" s="1708"/>
      <c r="BD217" s="1708"/>
      <c r="BE217" s="1708"/>
      <c r="BF217" s="1708"/>
      <c r="BG217" s="1708"/>
      <c r="BH217" s="1708"/>
      <c r="BI217" s="1708"/>
      <c r="BJ217" s="1708"/>
      <c r="BK217" s="1708"/>
      <c r="BL217" s="1708"/>
      <c r="BM217" s="1708"/>
      <c r="BN217" s="1708"/>
      <c r="BO217" s="1708"/>
      <c r="BP217" s="1708"/>
      <c r="BQ217" s="1708"/>
      <c r="BR217" s="1708"/>
      <c r="BS217" s="1708"/>
      <c r="BT217" s="1708"/>
      <c r="BU217" s="1708"/>
      <c r="BV217" s="1708"/>
      <c r="BW217" s="1708"/>
      <c r="BX217" s="1708"/>
      <c r="BY217" s="1708"/>
      <c r="BZ217" s="1708"/>
      <c r="CA217" s="1708"/>
      <c r="CB217" s="1708"/>
      <c r="CC217" s="1708"/>
      <c r="CD217" s="1708"/>
      <c r="CE217" s="1708"/>
      <c r="CF217" s="1708"/>
      <c r="CG217" s="1708"/>
      <c r="CH217" s="1708"/>
      <c r="CI217" s="1708"/>
      <c r="CJ217" s="1708"/>
      <c r="CK217" s="1708"/>
      <c r="CL217" s="1708"/>
      <c r="CM217" s="1708"/>
      <c r="CN217" s="1708"/>
      <c r="CO217" s="1708"/>
      <c r="CP217" s="1708"/>
      <c r="CQ217" s="1708"/>
      <c r="CR217" s="1708"/>
      <c r="CS217" s="1708"/>
      <c r="CT217" s="1708"/>
      <c r="CU217" s="1708"/>
      <c r="CV217" s="1708"/>
      <c r="CW217" s="1708"/>
      <c r="CX217" s="1708"/>
      <c r="CY217" s="1708"/>
      <c r="CZ217" s="1708"/>
      <c r="DA217" s="1708"/>
      <c r="DB217" s="1708"/>
      <c r="DC217" s="1708"/>
      <c r="DD217" s="1708"/>
      <c r="DE217" s="1708"/>
      <c r="DF217" s="1708"/>
      <c r="DG217" s="1708"/>
      <c r="DH217" s="1708"/>
      <c r="DI217" s="1708"/>
      <c r="DJ217" s="1708"/>
      <c r="DK217" s="1708"/>
      <c r="DL217" s="1708"/>
      <c r="DM217" s="1708"/>
      <c r="DN217" s="1708"/>
      <c r="DO217" s="1708"/>
      <c r="DP217" s="1708"/>
      <c r="DQ217" s="1708"/>
      <c r="DR217" s="1708"/>
      <c r="DS217" s="1708"/>
      <c r="DT217" s="1708"/>
      <c r="DU217" s="1708"/>
      <c r="DV217" s="1708"/>
      <c r="DW217" s="1708"/>
      <c r="DX217" s="1708"/>
      <c r="DY217" s="1708"/>
      <c r="DZ217" s="1708"/>
      <c r="EA217" s="1708"/>
      <c r="EB217" s="1708"/>
      <c r="EC217" s="1708"/>
      <c r="ED217" s="1708"/>
      <c r="EE217" s="1708"/>
      <c r="EF217" s="1708"/>
      <c r="EG217" s="1708"/>
      <c r="EH217" s="1708"/>
      <c r="EI217" s="1708"/>
      <c r="EJ217" s="1708"/>
      <c r="EK217" s="1708"/>
      <c r="EL217" s="1708"/>
      <c r="EM217" s="1708"/>
      <c r="EN217" s="1708"/>
      <c r="EO217" s="1708"/>
      <c r="EP217" s="1708"/>
      <c r="EQ217" s="1708"/>
      <c r="ER217" s="1708"/>
      <c r="ES217" s="1708"/>
      <c r="ET217" s="1708"/>
      <c r="EU217" s="1708"/>
      <c r="EV217" s="1708"/>
      <c r="EW217" s="1708"/>
      <c r="EX217" s="1708"/>
      <c r="EY217" s="1708"/>
      <c r="EZ217" s="1708"/>
      <c r="FA217" s="1708"/>
      <c r="FB217" s="1708"/>
      <c r="FC217" s="1708"/>
      <c r="FD217" s="1708"/>
      <c r="FE217" s="1708"/>
      <c r="FF217" s="1708"/>
      <c r="FG217" s="1708"/>
      <c r="FH217" s="1708"/>
      <c r="FI217" s="1708"/>
      <c r="FJ217" s="1708"/>
      <c r="FK217" s="1708"/>
      <c r="FL217" s="1708"/>
      <c r="FM217" s="1708"/>
      <c r="FN217" s="1708"/>
      <c r="FO217" s="1708"/>
      <c r="FP217" s="1708"/>
      <c r="FQ217" s="1708"/>
      <c r="FR217" s="1708"/>
      <c r="FS217" s="1708"/>
      <c r="FT217" s="1708"/>
      <c r="FU217" s="1708"/>
      <c r="FV217" s="1708"/>
      <c r="FW217" s="1708"/>
      <c r="FX217" s="1708"/>
      <c r="FY217" s="1708"/>
      <c r="FZ217" s="1708"/>
      <c r="GA217" s="1708"/>
      <c r="GB217" s="1708"/>
      <c r="GC217" s="1708"/>
      <c r="GD217" s="1708"/>
      <c r="GE217" s="1708"/>
      <c r="GF217" s="1708"/>
      <c r="GG217" s="1708"/>
      <c r="GH217" s="1708"/>
      <c r="GI217" s="1708"/>
      <c r="GJ217" s="1708"/>
      <c r="GK217" s="1708"/>
      <c r="GL217" s="1708"/>
      <c r="GM217" s="1708"/>
      <c r="GN217" s="1708"/>
      <c r="GO217" s="1708"/>
      <c r="GP217" s="1708"/>
      <c r="GQ217" s="1708"/>
      <c r="GR217" s="1708"/>
      <c r="GS217" s="1708"/>
      <c r="GT217" s="1708"/>
      <c r="GU217" s="1708"/>
      <c r="GV217" s="1708"/>
      <c r="GW217" s="1708"/>
      <c r="GX217" s="1708"/>
      <c r="GY217" s="1708"/>
      <c r="GZ217" s="1708"/>
      <c r="HA217" s="1708"/>
      <c r="HB217" s="1708"/>
      <c r="HC217" s="1708"/>
      <c r="HD217" s="1708"/>
      <c r="HE217" s="1708"/>
      <c r="HF217" s="1708"/>
      <c r="HG217" s="1708"/>
      <c r="HH217" s="1708"/>
      <c r="HI217" s="1708"/>
      <c r="HJ217" s="1708"/>
      <c r="HK217" s="1708"/>
      <c r="HL217" s="1708"/>
      <c r="HM217" s="1708"/>
      <c r="HN217" s="1708"/>
      <c r="HO217" s="1708"/>
      <c r="HP217" s="1708"/>
      <c r="HQ217" s="1708"/>
      <c r="HR217" s="1708"/>
      <c r="HS217" s="1708"/>
      <c r="HT217" s="1708"/>
      <c r="HU217" s="1708"/>
      <c r="HV217" s="1708"/>
      <c r="HW217" s="1708"/>
      <c r="HX217" s="1708"/>
      <c r="HY217" s="1708"/>
      <c r="HZ217" s="1708"/>
      <c r="IA217" s="1708"/>
      <c r="IB217" s="1708"/>
      <c r="IC217" s="1708"/>
      <c r="ID217" s="1708"/>
      <c r="IE217" s="1708"/>
      <c r="IF217" s="1708"/>
      <c r="IG217" s="1708"/>
      <c r="IH217" s="1708"/>
      <c r="II217" s="1708"/>
      <c r="IJ217" s="1708"/>
      <c r="IK217" s="1708"/>
      <c r="IL217" s="1708"/>
      <c r="IM217" s="1708"/>
      <c r="IN217" s="1708"/>
      <c r="IO217" s="1708"/>
      <c r="IP217" s="1708"/>
      <c r="IQ217" s="1708"/>
      <c r="IR217" s="1708"/>
      <c r="IS217" s="1708"/>
      <c r="IT217" s="1708"/>
      <c r="IU217" s="1708"/>
      <c r="IV217" s="1708"/>
    </row>
    <row r="218" spans="2:256" s="57" customFormat="1" x14ac:dyDescent="0.25">
      <c r="B218" s="1836"/>
      <c r="G218" s="1849"/>
      <c r="J218" s="1850"/>
      <c r="K218" s="1850"/>
      <c r="S218" s="1708"/>
      <c r="T218" s="1708"/>
      <c r="U218" s="1708"/>
      <c r="V218" s="1708"/>
      <c r="W218" s="1708"/>
      <c r="X218" s="1708"/>
      <c r="Y218" s="1708"/>
      <c r="Z218" s="1708"/>
      <c r="AA218" s="1708"/>
      <c r="AB218" s="1708"/>
      <c r="AC218" s="1708"/>
      <c r="AD218" s="1708"/>
      <c r="AE218" s="1708"/>
      <c r="AF218" s="1708"/>
      <c r="AG218" s="1708"/>
      <c r="AH218" s="1708"/>
      <c r="AI218" s="1708"/>
      <c r="AJ218" s="1708"/>
      <c r="AK218" s="1708"/>
      <c r="AL218" s="1708"/>
      <c r="AM218" s="1708"/>
      <c r="AN218" s="1708"/>
      <c r="AO218" s="1708"/>
      <c r="AP218" s="1708"/>
      <c r="AQ218" s="1708"/>
      <c r="AR218" s="1708"/>
      <c r="AS218" s="1708"/>
      <c r="AT218" s="1708"/>
      <c r="AU218" s="1708"/>
      <c r="AV218" s="1708"/>
      <c r="AW218" s="1708"/>
      <c r="AX218" s="1708"/>
      <c r="AY218" s="1708"/>
      <c r="AZ218" s="1708"/>
      <c r="BA218" s="1708"/>
      <c r="BB218" s="1708"/>
      <c r="BC218" s="1708"/>
      <c r="BD218" s="1708"/>
      <c r="BE218" s="1708"/>
      <c r="BF218" s="1708"/>
      <c r="BG218" s="1708"/>
      <c r="BH218" s="1708"/>
      <c r="BI218" s="1708"/>
      <c r="BJ218" s="1708"/>
      <c r="BK218" s="1708"/>
      <c r="BL218" s="1708"/>
      <c r="BM218" s="1708"/>
      <c r="BN218" s="1708"/>
      <c r="BO218" s="1708"/>
      <c r="BP218" s="1708"/>
      <c r="BQ218" s="1708"/>
      <c r="BR218" s="1708"/>
      <c r="BS218" s="1708"/>
      <c r="BT218" s="1708"/>
      <c r="BU218" s="1708"/>
      <c r="BV218" s="1708"/>
      <c r="BW218" s="1708"/>
      <c r="BX218" s="1708"/>
      <c r="BY218" s="1708"/>
      <c r="BZ218" s="1708"/>
      <c r="CA218" s="1708"/>
      <c r="CB218" s="1708"/>
      <c r="CC218" s="1708"/>
      <c r="CD218" s="1708"/>
      <c r="CE218" s="1708"/>
      <c r="CF218" s="1708"/>
      <c r="CG218" s="1708"/>
      <c r="CH218" s="1708"/>
      <c r="CI218" s="1708"/>
      <c r="CJ218" s="1708"/>
      <c r="CK218" s="1708"/>
      <c r="CL218" s="1708"/>
      <c r="CM218" s="1708"/>
      <c r="CN218" s="1708"/>
      <c r="CO218" s="1708"/>
      <c r="CP218" s="1708"/>
      <c r="CQ218" s="1708"/>
      <c r="CR218" s="1708"/>
      <c r="CS218" s="1708"/>
      <c r="CT218" s="1708"/>
      <c r="CU218" s="1708"/>
      <c r="CV218" s="1708"/>
      <c r="CW218" s="1708"/>
      <c r="CX218" s="1708"/>
      <c r="CY218" s="1708"/>
      <c r="CZ218" s="1708"/>
      <c r="DA218" s="1708"/>
      <c r="DB218" s="1708"/>
      <c r="DC218" s="1708"/>
      <c r="DD218" s="1708"/>
      <c r="DE218" s="1708"/>
      <c r="DF218" s="1708"/>
      <c r="DG218" s="1708"/>
      <c r="DH218" s="1708"/>
      <c r="DI218" s="1708"/>
      <c r="DJ218" s="1708"/>
      <c r="DK218" s="1708"/>
      <c r="DL218" s="1708"/>
      <c r="DM218" s="1708"/>
      <c r="DN218" s="1708"/>
      <c r="DO218" s="1708"/>
      <c r="DP218" s="1708"/>
      <c r="DQ218" s="1708"/>
      <c r="DR218" s="1708"/>
      <c r="DS218" s="1708"/>
      <c r="DT218" s="1708"/>
      <c r="DU218" s="1708"/>
      <c r="DV218" s="1708"/>
      <c r="DW218" s="1708"/>
      <c r="DX218" s="1708"/>
      <c r="DY218" s="1708"/>
      <c r="DZ218" s="1708"/>
      <c r="EA218" s="1708"/>
      <c r="EB218" s="1708"/>
      <c r="EC218" s="1708"/>
      <c r="ED218" s="1708"/>
      <c r="EE218" s="1708"/>
      <c r="EF218" s="1708"/>
      <c r="EG218" s="1708"/>
      <c r="EH218" s="1708"/>
      <c r="EI218" s="1708"/>
      <c r="EJ218" s="1708"/>
      <c r="EK218" s="1708"/>
      <c r="EL218" s="1708"/>
      <c r="EM218" s="1708"/>
      <c r="EN218" s="1708"/>
      <c r="EO218" s="1708"/>
      <c r="EP218" s="1708"/>
      <c r="EQ218" s="1708"/>
      <c r="ER218" s="1708"/>
      <c r="ES218" s="1708"/>
      <c r="ET218" s="1708"/>
      <c r="EU218" s="1708"/>
      <c r="EV218" s="1708"/>
      <c r="EW218" s="1708"/>
      <c r="EX218" s="1708"/>
      <c r="EY218" s="1708"/>
      <c r="EZ218" s="1708"/>
      <c r="FA218" s="1708"/>
      <c r="FB218" s="1708"/>
      <c r="FC218" s="1708"/>
      <c r="FD218" s="1708"/>
      <c r="FE218" s="1708"/>
      <c r="FF218" s="1708"/>
      <c r="FG218" s="1708"/>
      <c r="FH218" s="1708"/>
      <c r="FI218" s="1708"/>
      <c r="FJ218" s="1708"/>
      <c r="FK218" s="1708"/>
      <c r="FL218" s="1708"/>
      <c r="FM218" s="1708"/>
      <c r="FN218" s="1708"/>
      <c r="FO218" s="1708"/>
      <c r="FP218" s="1708"/>
      <c r="FQ218" s="1708"/>
      <c r="FR218" s="1708"/>
      <c r="FS218" s="1708"/>
      <c r="FT218" s="1708"/>
      <c r="FU218" s="1708"/>
      <c r="FV218" s="1708"/>
      <c r="FW218" s="1708"/>
      <c r="FX218" s="1708"/>
      <c r="FY218" s="1708"/>
      <c r="FZ218" s="1708"/>
      <c r="GA218" s="1708"/>
      <c r="GB218" s="1708"/>
      <c r="GC218" s="1708"/>
      <c r="GD218" s="1708"/>
      <c r="GE218" s="1708"/>
      <c r="GF218" s="1708"/>
      <c r="GG218" s="1708"/>
      <c r="GH218" s="1708"/>
      <c r="GI218" s="1708"/>
      <c r="GJ218" s="1708"/>
      <c r="GK218" s="1708"/>
      <c r="GL218" s="1708"/>
      <c r="GM218" s="1708"/>
      <c r="GN218" s="1708"/>
      <c r="GO218" s="1708"/>
      <c r="GP218" s="1708"/>
      <c r="GQ218" s="1708"/>
      <c r="GR218" s="1708"/>
      <c r="GS218" s="1708"/>
      <c r="GT218" s="1708"/>
      <c r="GU218" s="1708"/>
      <c r="GV218" s="1708"/>
      <c r="GW218" s="1708"/>
      <c r="GX218" s="1708"/>
      <c r="GY218" s="1708"/>
      <c r="GZ218" s="1708"/>
      <c r="HA218" s="1708"/>
      <c r="HB218" s="1708"/>
      <c r="HC218" s="1708"/>
      <c r="HD218" s="1708"/>
      <c r="HE218" s="1708"/>
      <c r="HF218" s="1708"/>
      <c r="HG218" s="1708"/>
      <c r="HH218" s="1708"/>
      <c r="HI218" s="1708"/>
      <c r="HJ218" s="1708"/>
      <c r="HK218" s="1708"/>
      <c r="HL218" s="1708"/>
      <c r="HM218" s="1708"/>
      <c r="HN218" s="1708"/>
      <c r="HO218" s="1708"/>
      <c r="HP218" s="1708"/>
      <c r="HQ218" s="1708"/>
      <c r="HR218" s="1708"/>
      <c r="HS218" s="1708"/>
      <c r="HT218" s="1708"/>
      <c r="HU218" s="1708"/>
      <c r="HV218" s="1708"/>
      <c r="HW218" s="1708"/>
      <c r="HX218" s="1708"/>
      <c r="HY218" s="1708"/>
      <c r="HZ218" s="1708"/>
      <c r="IA218" s="1708"/>
      <c r="IB218" s="1708"/>
      <c r="IC218" s="1708"/>
      <c r="ID218" s="1708"/>
      <c r="IE218" s="1708"/>
      <c r="IF218" s="1708"/>
      <c r="IG218" s="1708"/>
      <c r="IH218" s="1708"/>
      <c r="II218" s="1708"/>
      <c r="IJ218" s="1708"/>
      <c r="IK218" s="1708"/>
      <c r="IL218" s="1708"/>
      <c r="IM218" s="1708"/>
      <c r="IN218" s="1708"/>
      <c r="IO218" s="1708"/>
      <c r="IP218" s="1708"/>
      <c r="IQ218" s="1708"/>
      <c r="IR218" s="1708"/>
      <c r="IS218" s="1708"/>
      <c r="IT218" s="1708"/>
      <c r="IU218" s="1708"/>
      <c r="IV218" s="1708"/>
    </row>
    <row r="219" spans="2:256" s="57" customFormat="1" x14ac:dyDescent="0.25">
      <c r="B219" s="1836"/>
      <c r="G219" s="1849"/>
      <c r="J219" s="1850"/>
      <c r="K219" s="1850"/>
      <c r="S219" s="1708"/>
      <c r="T219" s="1708"/>
      <c r="U219" s="1708"/>
      <c r="V219" s="1708"/>
      <c r="W219" s="1708"/>
      <c r="X219" s="1708"/>
      <c r="Y219" s="1708"/>
      <c r="Z219" s="1708"/>
      <c r="AA219" s="1708"/>
      <c r="AB219" s="1708"/>
      <c r="AC219" s="1708"/>
      <c r="AD219" s="1708"/>
      <c r="AE219" s="1708"/>
      <c r="AF219" s="1708"/>
      <c r="AG219" s="1708"/>
      <c r="AH219" s="1708"/>
      <c r="AI219" s="1708"/>
      <c r="AJ219" s="1708"/>
      <c r="AK219" s="1708"/>
      <c r="AL219" s="1708"/>
      <c r="AM219" s="1708"/>
      <c r="AN219" s="1708"/>
      <c r="AO219" s="1708"/>
      <c r="AP219" s="1708"/>
      <c r="AQ219" s="1708"/>
      <c r="AR219" s="1708"/>
      <c r="AS219" s="1708"/>
      <c r="AT219" s="1708"/>
      <c r="AU219" s="1708"/>
      <c r="AV219" s="1708"/>
      <c r="AW219" s="1708"/>
      <c r="AX219" s="1708"/>
      <c r="AY219" s="1708"/>
      <c r="AZ219" s="1708"/>
      <c r="BA219" s="1708"/>
      <c r="BB219" s="1708"/>
      <c r="BC219" s="1708"/>
      <c r="BD219" s="1708"/>
      <c r="BE219" s="1708"/>
      <c r="BF219" s="1708"/>
      <c r="BG219" s="1708"/>
      <c r="BH219" s="1708"/>
      <c r="BI219" s="1708"/>
      <c r="BJ219" s="1708"/>
      <c r="BK219" s="1708"/>
      <c r="BL219" s="1708"/>
      <c r="BM219" s="1708"/>
      <c r="BN219" s="1708"/>
      <c r="BO219" s="1708"/>
      <c r="BP219" s="1708"/>
      <c r="BQ219" s="1708"/>
      <c r="BR219" s="1708"/>
      <c r="BS219" s="1708"/>
      <c r="BT219" s="1708"/>
      <c r="BU219" s="1708"/>
      <c r="BV219" s="1708"/>
      <c r="BW219" s="1708"/>
      <c r="BX219" s="1708"/>
      <c r="BY219" s="1708"/>
      <c r="BZ219" s="1708"/>
      <c r="CA219" s="1708"/>
      <c r="CB219" s="1708"/>
      <c r="CC219" s="1708"/>
      <c r="CD219" s="1708"/>
      <c r="CE219" s="1708"/>
      <c r="CF219" s="1708"/>
      <c r="CG219" s="1708"/>
      <c r="CH219" s="1708"/>
      <c r="CI219" s="1708"/>
      <c r="CJ219" s="1708"/>
      <c r="CK219" s="1708"/>
      <c r="CL219" s="1708"/>
      <c r="CM219" s="1708"/>
      <c r="CN219" s="1708"/>
      <c r="CO219" s="1708"/>
      <c r="CP219" s="1708"/>
      <c r="CQ219" s="1708"/>
      <c r="CR219" s="1708"/>
      <c r="CS219" s="1708"/>
      <c r="CT219" s="1708"/>
      <c r="CU219" s="1708"/>
      <c r="CV219" s="1708"/>
      <c r="CW219" s="1708"/>
      <c r="CX219" s="1708"/>
      <c r="CY219" s="1708"/>
      <c r="CZ219" s="1708"/>
      <c r="DA219" s="1708"/>
      <c r="DB219" s="1708"/>
      <c r="DC219" s="1708"/>
      <c r="DD219" s="1708"/>
      <c r="DE219" s="1708"/>
      <c r="DF219" s="1708"/>
      <c r="DG219" s="1708"/>
      <c r="DH219" s="1708"/>
      <c r="DI219" s="1708"/>
      <c r="DJ219" s="1708"/>
      <c r="DK219" s="1708"/>
      <c r="DL219" s="1708"/>
      <c r="DM219" s="1708"/>
      <c r="DN219" s="1708"/>
      <c r="DO219" s="1708"/>
      <c r="DP219" s="1708"/>
      <c r="DQ219" s="1708"/>
      <c r="DR219" s="1708"/>
      <c r="DS219" s="1708"/>
      <c r="DT219" s="1708"/>
      <c r="DU219" s="1708"/>
      <c r="DV219" s="1708"/>
      <c r="DW219" s="1708"/>
      <c r="DX219" s="1708"/>
      <c r="DY219" s="1708"/>
      <c r="DZ219" s="1708"/>
      <c r="EA219" s="1708"/>
      <c r="EB219" s="1708"/>
      <c r="EC219" s="1708"/>
      <c r="ED219" s="1708"/>
      <c r="EE219" s="1708"/>
      <c r="EF219" s="1708"/>
      <c r="EG219" s="1708"/>
      <c r="EH219" s="1708"/>
      <c r="EI219" s="1708"/>
      <c r="EJ219" s="1708"/>
      <c r="EK219" s="1708"/>
      <c r="EL219" s="1708"/>
      <c r="EM219" s="1708"/>
      <c r="EN219" s="1708"/>
      <c r="EO219" s="1708"/>
      <c r="EP219" s="1708"/>
      <c r="EQ219" s="1708"/>
      <c r="ER219" s="1708"/>
      <c r="ES219" s="1708"/>
      <c r="ET219" s="1708"/>
      <c r="EU219" s="1708"/>
      <c r="EV219" s="1708"/>
      <c r="EW219" s="1708"/>
      <c r="EX219" s="1708"/>
      <c r="EY219" s="1708"/>
      <c r="EZ219" s="1708"/>
      <c r="FA219" s="1708"/>
      <c r="FB219" s="1708"/>
      <c r="FC219" s="1708"/>
      <c r="FD219" s="1708"/>
      <c r="FE219" s="1708"/>
      <c r="FF219" s="1708"/>
      <c r="FG219" s="1708"/>
      <c r="FH219" s="1708"/>
      <c r="FI219" s="1708"/>
      <c r="FJ219" s="1708"/>
      <c r="FK219" s="1708"/>
      <c r="FL219" s="1708"/>
      <c r="FM219" s="1708"/>
      <c r="FN219" s="1708"/>
      <c r="FO219" s="1708"/>
      <c r="FP219" s="1708"/>
      <c r="FQ219" s="1708"/>
      <c r="FR219" s="1708"/>
      <c r="FS219" s="1708"/>
      <c r="FT219" s="1708"/>
      <c r="FU219" s="1708"/>
      <c r="FV219" s="1708"/>
      <c r="FW219" s="1708"/>
      <c r="FX219" s="1708"/>
      <c r="FY219" s="1708"/>
      <c r="FZ219" s="1708"/>
      <c r="GA219" s="1708"/>
      <c r="GB219" s="1708"/>
      <c r="GC219" s="1708"/>
      <c r="GD219" s="1708"/>
      <c r="GE219" s="1708"/>
      <c r="GF219" s="1708"/>
      <c r="GG219" s="1708"/>
      <c r="GH219" s="1708"/>
      <c r="GI219" s="1708"/>
      <c r="GJ219" s="1708"/>
      <c r="GK219" s="1708"/>
      <c r="GL219" s="1708"/>
      <c r="GM219" s="1708"/>
      <c r="GN219" s="1708"/>
      <c r="GO219" s="1708"/>
      <c r="GP219" s="1708"/>
      <c r="GQ219" s="1708"/>
      <c r="GR219" s="1708"/>
      <c r="GS219" s="1708"/>
      <c r="GT219" s="1708"/>
      <c r="GU219" s="1708"/>
      <c r="GV219" s="1708"/>
      <c r="GW219" s="1708"/>
      <c r="GX219" s="1708"/>
      <c r="GY219" s="1708"/>
      <c r="GZ219" s="1708"/>
      <c r="HA219" s="1708"/>
      <c r="HB219" s="1708"/>
      <c r="HC219" s="1708"/>
      <c r="HD219" s="1708"/>
      <c r="HE219" s="1708"/>
      <c r="HF219" s="1708"/>
      <c r="HG219" s="1708"/>
      <c r="HH219" s="1708"/>
      <c r="HI219" s="1708"/>
      <c r="HJ219" s="1708"/>
      <c r="HK219" s="1708"/>
      <c r="HL219" s="1708"/>
      <c r="HM219" s="1708"/>
      <c r="HN219" s="1708"/>
      <c r="HO219" s="1708"/>
      <c r="HP219" s="1708"/>
      <c r="HQ219" s="1708"/>
      <c r="HR219" s="1708"/>
      <c r="HS219" s="1708"/>
      <c r="HT219" s="1708"/>
      <c r="HU219" s="1708"/>
      <c r="HV219" s="1708"/>
      <c r="HW219" s="1708"/>
      <c r="HX219" s="1708"/>
      <c r="HY219" s="1708"/>
      <c r="HZ219" s="1708"/>
      <c r="IA219" s="1708"/>
      <c r="IB219" s="1708"/>
      <c r="IC219" s="1708"/>
      <c r="ID219" s="1708"/>
      <c r="IE219" s="1708"/>
      <c r="IF219" s="1708"/>
      <c r="IG219" s="1708"/>
      <c r="IH219" s="1708"/>
      <c r="II219" s="1708"/>
      <c r="IJ219" s="1708"/>
      <c r="IK219" s="1708"/>
      <c r="IL219" s="1708"/>
      <c r="IM219" s="1708"/>
      <c r="IN219" s="1708"/>
      <c r="IO219" s="1708"/>
      <c r="IP219" s="1708"/>
      <c r="IQ219" s="1708"/>
      <c r="IR219" s="1708"/>
      <c r="IS219" s="1708"/>
      <c r="IT219" s="1708"/>
      <c r="IU219" s="1708"/>
      <c r="IV219" s="1708"/>
    </row>
    <row r="220" spans="2:256" s="57" customFormat="1" x14ac:dyDescent="0.25">
      <c r="B220" s="1836"/>
      <c r="G220" s="1849"/>
      <c r="J220" s="1850"/>
      <c r="K220" s="1850"/>
      <c r="S220" s="1708"/>
      <c r="T220" s="1708"/>
      <c r="U220" s="1708"/>
      <c r="V220" s="1708"/>
      <c r="W220" s="1708"/>
      <c r="X220" s="1708"/>
      <c r="Y220" s="1708"/>
      <c r="Z220" s="1708"/>
      <c r="AA220" s="1708"/>
      <c r="AB220" s="1708"/>
      <c r="AC220" s="1708"/>
      <c r="AD220" s="1708"/>
      <c r="AE220" s="1708"/>
      <c r="AF220" s="1708"/>
      <c r="AG220" s="1708"/>
      <c r="AH220" s="1708"/>
      <c r="AI220" s="1708"/>
      <c r="AJ220" s="1708"/>
      <c r="AK220" s="1708"/>
      <c r="AL220" s="1708"/>
      <c r="AM220" s="1708"/>
      <c r="AN220" s="1708"/>
      <c r="AO220" s="1708"/>
      <c r="AP220" s="1708"/>
      <c r="AQ220" s="1708"/>
      <c r="AR220" s="1708"/>
      <c r="AS220" s="1708"/>
      <c r="AT220" s="1708"/>
      <c r="AU220" s="1708"/>
      <c r="AV220" s="1708"/>
      <c r="AW220" s="1708"/>
      <c r="AX220" s="1708"/>
      <c r="AY220" s="1708"/>
      <c r="AZ220" s="1708"/>
      <c r="BA220" s="1708"/>
      <c r="BB220" s="1708"/>
      <c r="BC220" s="1708"/>
      <c r="BD220" s="1708"/>
      <c r="BE220" s="1708"/>
      <c r="BF220" s="1708"/>
      <c r="BG220" s="1708"/>
      <c r="BH220" s="1708"/>
      <c r="BI220" s="1708"/>
      <c r="BJ220" s="1708"/>
      <c r="BK220" s="1708"/>
      <c r="BL220" s="1708"/>
      <c r="BM220" s="1708"/>
      <c r="BN220" s="1708"/>
      <c r="BO220" s="1708"/>
      <c r="BP220" s="1708"/>
      <c r="BQ220" s="1708"/>
      <c r="BR220" s="1708"/>
      <c r="BS220" s="1708"/>
      <c r="BT220" s="1708"/>
      <c r="BU220" s="1708"/>
      <c r="BV220" s="1708"/>
      <c r="BW220" s="1708"/>
      <c r="BX220" s="1708"/>
      <c r="BY220" s="1708"/>
      <c r="BZ220" s="1708"/>
      <c r="CA220" s="1708"/>
      <c r="CB220" s="1708"/>
      <c r="CC220" s="1708"/>
      <c r="CD220" s="1708"/>
      <c r="CE220" s="1708"/>
      <c r="CF220" s="1708"/>
      <c r="CG220" s="1708"/>
      <c r="CH220" s="1708"/>
      <c r="CI220" s="1708"/>
      <c r="CJ220" s="1708"/>
      <c r="CK220" s="1708"/>
      <c r="CL220" s="1708"/>
      <c r="CM220" s="1708"/>
      <c r="CN220" s="1708"/>
      <c r="CO220" s="1708"/>
      <c r="CP220" s="1708"/>
      <c r="CQ220" s="1708"/>
      <c r="CR220" s="1708"/>
      <c r="CS220" s="1708"/>
      <c r="CT220" s="1708"/>
      <c r="CU220" s="1708"/>
      <c r="CV220" s="1708"/>
      <c r="CW220" s="1708"/>
      <c r="CX220" s="1708"/>
      <c r="CY220" s="1708"/>
      <c r="CZ220" s="1708"/>
      <c r="DA220" s="1708"/>
      <c r="DB220" s="1708"/>
      <c r="DC220" s="1708"/>
      <c r="DD220" s="1708"/>
      <c r="DE220" s="1708"/>
      <c r="DF220" s="1708"/>
      <c r="DG220" s="1708"/>
      <c r="DH220" s="1708"/>
      <c r="DI220" s="1708"/>
      <c r="DJ220" s="1708"/>
      <c r="DK220" s="1708"/>
      <c r="DL220" s="1708"/>
      <c r="DM220" s="1708"/>
      <c r="DN220" s="1708"/>
      <c r="DO220" s="1708"/>
      <c r="DP220" s="1708"/>
      <c r="DQ220" s="1708"/>
      <c r="DR220" s="1708"/>
      <c r="DS220" s="1708"/>
      <c r="DT220" s="1708"/>
      <c r="DU220" s="1708"/>
      <c r="DV220" s="1708"/>
      <c r="DW220" s="1708"/>
      <c r="DX220" s="1708"/>
      <c r="DY220" s="1708"/>
      <c r="DZ220" s="1708"/>
      <c r="EA220" s="1708"/>
      <c r="EB220" s="1708"/>
      <c r="EC220" s="1708"/>
      <c r="ED220" s="1708"/>
      <c r="EE220" s="1708"/>
      <c r="EF220" s="1708"/>
      <c r="EG220" s="1708"/>
      <c r="EH220" s="1708"/>
      <c r="EI220" s="1708"/>
      <c r="EJ220" s="1708"/>
      <c r="EK220" s="1708"/>
      <c r="EL220" s="1708"/>
      <c r="EM220" s="1708"/>
      <c r="EN220" s="1708"/>
      <c r="EO220" s="1708"/>
      <c r="EP220" s="1708"/>
      <c r="EQ220" s="1708"/>
      <c r="ER220" s="1708"/>
      <c r="ES220" s="1708"/>
      <c r="ET220" s="1708"/>
      <c r="EU220" s="1708"/>
      <c r="EV220" s="1708"/>
      <c r="EW220" s="1708"/>
      <c r="EX220" s="1708"/>
      <c r="EY220" s="1708"/>
      <c r="EZ220" s="1708"/>
      <c r="FA220" s="1708"/>
      <c r="FB220" s="1708"/>
      <c r="FC220" s="1708"/>
      <c r="FD220" s="1708"/>
      <c r="FE220" s="1708"/>
      <c r="FF220" s="1708"/>
      <c r="FG220" s="1708"/>
      <c r="FH220" s="1708"/>
      <c r="FI220" s="1708"/>
      <c r="FJ220" s="1708"/>
      <c r="FK220" s="1708"/>
      <c r="FL220" s="1708"/>
      <c r="FM220" s="1708"/>
      <c r="FN220" s="1708"/>
      <c r="FO220" s="1708"/>
      <c r="FP220" s="1708"/>
      <c r="FQ220" s="1708"/>
      <c r="FR220" s="1708"/>
      <c r="FS220" s="1708"/>
      <c r="FT220" s="1708"/>
      <c r="FU220" s="1708"/>
      <c r="FV220" s="1708"/>
      <c r="FW220" s="1708"/>
      <c r="FX220" s="1708"/>
      <c r="FY220" s="1708"/>
      <c r="FZ220" s="1708"/>
      <c r="GA220" s="1708"/>
      <c r="GB220" s="1708"/>
      <c r="GC220" s="1708"/>
      <c r="GD220" s="1708"/>
      <c r="GE220" s="1708"/>
      <c r="GF220" s="1708"/>
      <c r="GG220" s="1708"/>
      <c r="GH220" s="1708"/>
      <c r="GI220" s="1708"/>
      <c r="GJ220" s="1708"/>
      <c r="GK220" s="1708"/>
      <c r="GL220" s="1708"/>
      <c r="GM220" s="1708"/>
      <c r="GN220" s="1708"/>
      <c r="GO220" s="1708"/>
      <c r="GP220" s="1708"/>
      <c r="GQ220" s="1708"/>
      <c r="GR220" s="1708"/>
      <c r="GS220" s="1708"/>
      <c r="GT220" s="1708"/>
      <c r="GU220" s="1708"/>
      <c r="GV220" s="1708"/>
      <c r="GW220" s="1708"/>
      <c r="GX220" s="1708"/>
      <c r="GY220" s="1708"/>
      <c r="GZ220" s="1708"/>
      <c r="HA220" s="1708"/>
      <c r="HB220" s="1708"/>
      <c r="HC220" s="1708"/>
      <c r="HD220" s="1708"/>
      <c r="HE220" s="1708"/>
      <c r="HF220" s="1708"/>
      <c r="HG220" s="1708"/>
      <c r="HH220" s="1708"/>
      <c r="HI220" s="1708"/>
      <c r="HJ220" s="1708"/>
      <c r="HK220" s="1708"/>
      <c r="HL220" s="1708"/>
      <c r="HM220" s="1708"/>
      <c r="HN220" s="1708"/>
      <c r="HO220" s="1708"/>
      <c r="HP220" s="1708"/>
      <c r="HQ220" s="1708"/>
      <c r="HR220" s="1708"/>
      <c r="HS220" s="1708"/>
      <c r="HT220" s="1708"/>
      <c r="HU220" s="1708"/>
      <c r="HV220" s="1708"/>
      <c r="HW220" s="1708"/>
      <c r="HX220" s="1708"/>
      <c r="HY220" s="1708"/>
      <c r="HZ220" s="1708"/>
      <c r="IA220" s="1708"/>
      <c r="IB220" s="1708"/>
      <c r="IC220" s="1708"/>
      <c r="ID220" s="1708"/>
      <c r="IE220" s="1708"/>
      <c r="IF220" s="1708"/>
      <c r="IG220" s="1708"/>
      <c r="IH220" s="1708"/>
      <c r="II220" s="1708"/>
      <c r="IJ220" s="1708"/>
      <c r="IK220" s="1708"/>
      <c r="IL220" s="1708"/>
      <c r="IM220" s="1708"/>
      <c r="IN220" s="1708"/>
      <c r="IO220" s="1708"/>
      <c r="IP220" s="1708"/>
      <c r="IQ220" s="1708"/>
      <c r="IR220" s="1708"/>
      <c r="IS220" s="1708"/>
      <c r="IT220" s="1708"/>
      <c r="IU220" s="1708"/>
      <c r="IV220" s="1708"/>
    </row>
    <row r="221" spans="2:256" s="57" customFormat="1" x14ac:dyDescent="0.25">
      <c r="B221" s="1836"/>
      <c r="G221" s="1849"/>
      <c r="J221" s="1850"/>
      <c r="K221" s="1850"/>
      <c r="S221" s="1708"/>
      <c r="T221" s="1708"/>
      <c r="U221" s="1708"/>
      <c r="V221" s="1708"/>
      <c r="W221" s="1708"/>
      <c r="X221" s="1708"/>
      <c r="Y221" s="1708"/>
      <c r="Z221" s="1708"/>
      <c r="AA221" s="1708"/>
      <c r="AB221" s="1708"/>
      <c r="AC221" s="1708"/>
      <c r="AD221" s="1708"/>
      <c r="AE221" s="1708"/>
      <c r="AF221" s="1708"/>
      <c r="AG221" s="1708"/>
      <c r="AH221" s="1708"/>
      <c r="AI221" s="1708"/>
      <c r="AJ221" s="1708"/>
      <c r="AK221" s="1708"/>
      <c r="AL221" s="1708"/>
      <c r="AM221" s="1708"/>
      <c r="AN221" s="1708"/>
      <c r="AO221" s="1708"/>
      <c r="AP221" s="1708"/>
      <c r="AQ221" s="1708"/>
      <c r="AR221" s="1708"/>
      <c r="AS221" s="1708"/>
      <c r="AT221" s="1708"/>
      <c r="AU221" s="1708"/>
      <c r="AV221" s="1708"/>
      <c r="AW221" s="1708"/>
      <c r="AX221" s="1708"/>
      <c r="AY221" s="1708"/>
      <c r="AZ221" s="1708"/>
      <c r="BA221" s="1708"/>
      <c r="BB221" s="1708"/>
      <c r="BC221" s="1708"/>
      <c r="BD221" s="1708"/>
      <c r="BE221" s="1708"/>
      <c r="BF221" s="1708"/>
      <c r="BG221" s="1708"/>
      <c r="BH221" s="1708"/>
      <c r="BI221" s="1708"/>
      <c r="BJ221" s="1708"/>
      <c r="BK221" s="1708"/>
      <c r="BL221" s="1708"/>
      <c r="BM221" s="1708"/>
      <c r="BN221" s="1708"/>
      <c r="BO221" s="1708"/>
      <c r="BP221" s="1708"/>
      <c r="BQ221" s="1708"/>
      <c r="BR221" s="1708"/>
      <c r="BS221" s="1708"/>
      <c r="BT221" s="1708"/>
      <c r="BU221" s="1708"/>
      <c r="BV221" s="1708"/>
      <c r="BW221" s="1708"/>
      <c r="BX221" s="1708"/>
      <c r="BY221" s="1708"/>
      <c r="BZ221" s="1708"/>
      <c r="CA221" s="1708"/>
      <c r="CB221" s="1708"/>
      <c r="CC221" s="1708"/>
      <c r="CD221" s="1708"/>
      <c r="CE221" s="1708"/>
      <c r="CF221" s="1708"/>
      <c r="CG221" s="1708"/>
      <c r="CH221" s="1708"/>
      <c r="CI221" s="1708"/>
      <c r="CJ221" s="1708"/>
      <c r="CK221" s="1708"/>
      <c r="CL221" s="1708"/>
      <c r="CM221" s="1708"/>
      <c r="CN221" s="1708"/>
      <c r="CO221" s="1708"/>
      <c r="CP221" s="1708"/>
      <c r="CQ221" s="1708"/>
      <c r="CR221" s="1708"/>
      <c r="CS221" s="1708"/>
      <c r="CT221" s="1708"/>
      <c r="CU221" s="1708"/>
      <c r="CV221" s="1708"/>
      <c r="CW221" s="1708"/>
      <c r="CX221" s="1708"/>
      <c r="CY221" s="1708"/>
      <c r="CZ221" s="1708"/>
      <c r="DA221" s="1708"/>
      <c r="DB221" s="1708"/>
      <c r="DC221" s="1708"/>
      <c r="DD221" s="1708"/>
      <c r="DE221" s="1708"/>
      <c r="DF221" s="1708"/>
      <c r="DG221" s="1708"/>
      <c r="DH221" s="1708"/>
      <c r="DI221" s="1708"/>
      <c r="DJ221" s="1708"/>
      <c r="DK221" s="1708"/>
      <c r="DL221" s="1708"/>
      <c r="DM221" s="1708"/>
      <c r="DN221" s="1708"/>
      <c r="DO221" s="1708"/>
      <c r="DP221" s="1708"/>
      <c r="DQ221" s="1708"/>
      <c r="DR221" s="1708"/>
      <c r="DS221" s="1708"/>
      <c r="DT221" s="1708"/>
      <c r="DU221" s="1708"/>
      <c r="DV221" s="1708"/>
      <c r="DW221" s="1708"/>
      <c r="DX221" s="1708"/>
      <c r="DY221" s="1708"/>
      <c r="DZ221" s="1708"/>
      <c r="EA221" s="1708"/>
      <c r="EB221" s="1708"/>
      <c r="EC221" s="1708"/>
      <c r="ED221" s="1708"/>
      <c r="EE221" s="1708"/>
      <c r="EF221" s="1708"/>
      <c r="EG221" s="1708"/>
      <c r="EH221" s="1708"/>
      <c r="EI221" s="1708"/>
      <c r="EJ221" s="1708"/>
      <c r="EK221" s="1708"/>
      <c r="EL221" s="1708"/>
      <c r="EM221" s="1708"/>
      <c r="EN221" s="1708"/>
      <c r="EO221" s="1708"/>
      <c r="EP221" s="1708"/>
      <c r="EQ221" s="1708"/>
      <c r="ER221" s="1708"/>
      <c r="ES221" s="1708"/>
      <c r="ET221" s="1708"/>
      <c r="EU221" s="1708"/>
      <c r="EV221" s="1708"/>
      <c r="EW221" s="1708"/>
      <c r="EX221" s="1708"/>
      <c r="EY221" s="1708"/>
      <c r="EZ221" s="1708"/>
      <c r="FA221" s="1708"/>
      <c r="FB221" s="1708"/>
      <c r="FC221" s="1708"/>
      <c r="FD221" s="1708"/>
      <c r="FE221" s="1708"/>
      <c r="FF221" s="1708"/>
      <c r="FG221" s="1708"/>
      <c r="FH221" s="1708"/>
      <c r="FI221" s="1708"/>
      <c r="FJ221" s="1708"/>
      <c r="FK221" s="1708"/>
      <c r="FL221" s="1708"/>
      <c r="FM221" s="1708"/>
      <c r="FN221" s="1708"/>
      <c r="FO221" s="1708"/>
      <c r="FP221" s="1708"/>
      <c r="FQ221" s="1708"/>
      <c r="FR221" s="1708"/>
      <c r="FS221" s="1708"/>
      <c r="FT221" s="1708"/>
      <c r="FU221" s="1708"/>
      <c r="FV221" s="1708"/>
      <c r="FW221" s="1708"/>
      <c r="FX221" s="1708"/>
      <c r="FY221" s="1708"/>
      <c r="FZ221" s="1708"/>
      <c r="GA221" s="1708"/>
      <c r="GB221" s="1708"/>
      <c r="GC221" s="1708"/>
      <c r="GD221" s="1708"/>
      <c r="GE221" s="1708"/>
      <c r="GF221" s="1708"/>
      <c r="GG221" s="1708"/>
      <c r="GH221" s="1708"/>
      <c r="GI221" s="1708"/>
      <c r="GJ221" s="1708"/>
      <c r="GK221" s="1708"/>
      <c r="GL221" s="1708"/>
      <c r="GM221" s="1708"/>
      <c r="GN221" s="1708"/>
      <c r="GO221" s="1708"/>
      <c r="GP221" s="1708"/>
      <c r="GQ221" s="1708"/>
      <c r="GR221" s="1708"/>
      <c r="GS221" s="1708"/>
      <c r="GT221" s="1708"/>
      <c r="GU221" s="1708"/>
      <c r="GV221" s="1708"/>
      <c r="GW221" s="1708"/>
      <c r="GX221" s="1708"/>
      <c r="GY221" s="1708"/>
      <c r="GZ221" s="1708"/>
      <c r="HA221" s="1708"/>
      <c r="HB221" s="1708"/>
      <c r="HC221" s="1708"/>
      <c r="HD221" s="1708"/>
      <c r="HE221" s="1708"/>
      <c r="HF221" s="1708"/>
      <c r="HG221" s="1708"/>
      <c r="HH221" s="1708"/>
      <c r="HI221" s="1708"/>
      <c r="HJ221" s="1708"/>
      <c r="HK221" s="1708"/>
      <c r="HL221" s="1708"/>
      <c r="HM221" s="1708"/>
      <c r="HN221" s="1708"/>
      <c r="HO221" s="1708"/>
      <c r="HP221" s="1708"/>
      <c r="HQ221" s="1708"/>
      <c r="HR221" s="1708"/>
      <c r="HS221" s="1708"/>
      <c r="HT221" s="1708"/>
      <c r="HU221" s="1708"/>
      <c r="HV221" s="1708"/>
      <c r="HW221" s="1708"/>
      <c r="HX221" s="1708"/>
      <c r="HY221" s="1708"/>
      <c r="HZ221" s="1708"/>
      <c r="IA221" s="1708"/>
      <c r="IB221" s="1708"/>
      <c r="IC221" s="1708"/>
      <c r="ID221" s="1708"/>
      <c r="IE221" s="1708"/>
      <c r="IF221" s="1708"/>
      <c r="IG221" s="1708"/>
      <c r="IH221" s="1708"/>
      <c r="II221" s="1708"/>
      <c r="IJ221" s="1708"/>
      <c r="IK221" s="1708"/>
      <c r="IL221" s="1708"/>
      <c r="IM221" s="1708"/>
      <c r="IN221" s="1708"/>
      <c r="IO221" s="1708"/>
      <c r="IP221" s="1708"/>
      <c r="IQ221" s="1708"/>
      <c r="IR221" s="1708"/>
      <c r="IS221" s="1708"/>
      <c r="IT221" s="1708"/>
      <c r="IU221" s="1708"/>
      <c r="IV221" s="1708"/>
    </row>
    <row r="222" spans="2:256" s="57" customFormat="1" x14ac:dyDescent="0.25">
      <c r="B222" s="1836"/>
      <c r="G222" s="1849"/>
      <c r="J222" s="1850"/>
      <c r="K222" s="1850"/>
      <c r="S222" s="1708"/>
      <c r="T222" s="1708"/>
      <c r="U222" s="1708"/>
      <c r="V222" s="1708"/>
      <c r="W222" s="1708"/>
      <c r="X222" s="1708"/>
      <c r="Y222" s="1708"/>
      <c r="Z222" s="1708"/>
      <c r="AA222" s="1708"/>
      <c r="AB222" s="1708"/>
      <c r="AC222" s="1708"/>
      <c r="AD222" s="1708"/>
      <c r="AE222" s="1708"/>
      <c r="AF222" s="1708"/>
      <c r="AG222" s="1708"/>
      <c r="AH222" s="1708"/>
      <c r="AI222" s="1708"/>
      <c r="AJ222" s="1708"/>
      <c r="AK222" s="1708"/>
      <c r="AL222" s="1708"/>
      <c r="AM222" s="1708"/>
      <c r="AN222" s="1708"/>
      <c r="AO222" s="1708"/>
      <c r="AP222" s="1708"/>
      <c r="AQ222" s="1708"/>
      <c r="AR222" s="1708"/>
      <c r="AS222" s="1708"/>
      <c r="AT222" s="1708"/>
      <c r="AU222" s="1708"/>
      <c r="AV222" s="1708"/>
      <c r="AW222" s="1708"/>
      <c r="AX222" s="1708"/>
      <c r="AY222" s="1708"/>
      <c r="AZ222" s="1708"/>
      <c r="BA222" s="1708"/>
      <c r="BB222" s="1708"/>
      <c r="BC222" s="1708"/>
      <c r="BD222" s="1708"/>
      <c r="BE222" s="1708"/>
      <c r="BF222" s="1708"/>
      <c r="BG222" s="1708"/>
      <c r="BH222" s="1708"/>
      <c r="BI222" s="1708"/>
      <c r="BJ222" s="1708"/>
      <c r="BK222" s="1708"/>
      <c r="BL222" s="1708"/>
      <c r="BM222" s="1708"/>
      <c r="BN222" s="1708"/>
      <c r="BO222" s="1708"/>
      <c r="BP222" s="1708"/>
      <c r="BQ222" s="1708"/>
      <c r="BR222" s="1708"/>
      <c r="BS222" s="1708"/>
      <c r="BT222" s="1708"/>
      <c r="BU222" s="1708"/>
      <c r="BV222" s="1708"/>
      <c r="BW222" s="1708"/>
      <c r="BX222" s="1708"/>
      <c r="BY222" s="1708"/>
      <c r="BZ222" s="1708"/>
      <c r="CA222" s="1708"/>
      <c r="CB222" s="1708"/>
      <c r="CC222" s="1708"/>
      <c r="CD222" s="1708"/>
      <c r="CE222" s="1708"/>
      <c r="CF222" s="1708"/>
      <c r="CG222" s="1708"/>
      <c r="CH222" s="1708"/>
      <c r="CI222" s="1708"/>
      <c r="CJ222" s="1708"/>
      <c r="CK222" s="1708"/>
      <c r="CL222" s="1708"/>
      <c r="CM222" s="1708"/>
      <c r="CN222" s="1708"/>
      <c r="CO222" s="1708"/>
      <c r="CP222" s="1708"/>
      <c r="CQ222" s="1708"/>
      <c r="CR222" s="1708"/>
      <c r="CS222" s="1708"/>
      <c r="CT222" s="1708"/>
      <c r="CU222" s="1708"/>
      <c r="CV222" s="1708"/>
      <c r="CW222" s="1708"/>
      <c r="CX222" s="1708"/>
      <c r="CY222" s="1708"/>
      <c r="CZ222" s="1708"/>
      <c r="DA222" s="1708"/>
      <c r="DB222" s="1708"/>
      <c r="DC222" s="1708"/>
      <c r="DD222" s="1708"/>
      <c r="DE222" s="1708"/>
      <c r="DF222" s="1708"/>
      <c r="DG222" s="1708"/>
      <c r="DH222" s="1708"/>
      <c r="DI222" s="1708"/>
      <c r="DJ222" s="1708"/>
      <c r="DK222" s="1708"/>
      <c r="DL222" s="1708"/>
      <c r="DM222" s="1708"/>
      <c r="DN222" s="1708"/>
      <c r="DO222" s="1708"/>
      <c r="DP222" s="1708"/>
      <c r="DQ222" s="1708"/>
      <c r="DR222" s="1708"/>
      <c r="DS222" s="1708"/>
      <c r="DT222" s="1708"/>
      <c r="DU222" s="1708"/>
      <c r="DV222" s="1708"/>
      <c r="DW222" s="1708"/>
      <c r="DX222" s="1708"/>
      <c r="DY222" s="1708"/>
      <c r="DZ222" s="1708"/>
      <c r="EA222" s="1708"/>
      <c r="EB222" s="1708"/>
      <c r="EC222" s="1708"/>
      <c r="ED222" s="1708"/>
      <c r="EE222" s="1708"/>
      <c r="EF222" s="1708"/>
      <c r="EG222" s="1708"/>
      <c r="EH222" s="1708"/>
      <c r="EI222" s="1708"/>
      <c r="EJ222" s="1708"/>
      <c r="EK222" s="1708"/>
      <c r="EL222" s="1708"/>
      <c r="EM222" s="1708"/>
      <c r="EN222" s="1708"/>
      <c r="EO222" s="1708"/>
      <c r="EP222" s="1708"/>
      <c r="EQ222" s="1708"/>
      <c r="ER222" s="1708"/>
      <c r="ES222" s="1708"/>
      <c r="ET222" s="1708"/>
      <c r="EU222" s="1708"/>
      <c r="EV222" s="1708"/>
      <c r="EW222" s="1708"/>
      <c r="EX222" s="1708"/>
      <c r="EY222" s="1708"/>
      <c r="EZ222" s="1708"/>
      <c r="FA222" s="1708"/>
      <c r="FB222" s="1708"/>
      <c r="FC222" s="1708"/>
      <c r="FD222" s="1708"/>
      <c r="FE222" s="1708"/>
      <c r="FF222" s="1708"/>
      <c r="FG222" s="1708"/>
      <c r="FH222" s="1708"/>
      <c r="FI222" s="1708"/>
      <c r="FJ222" s="1708"/>
      <c r="FK222" s="1708"/>
      <c r="FL222" s="1708"/>
      <c r="FM222" s="1708"/>
      <c r="FN222" s="1708"/>
      <c r="FO222" s="1708"/>
      <c r="FP222" s="1708"/>
      <c r="FQ222" s="1708"/>
      <c r="FR222" s="1708"/>
      <c r="FS222" s="1708"/>
      <c r="FT222" s="1708"/>
      <c r="FU222" s="1708"/>
      <c r="FV222" s="1708"/>
      <c r="FW222" s="1708"/>
      <c r="FX222" s="1708"/>
      <c r="FY222" s="1708"/>
      <c r="FZ222" s="1708"/>
      <c r="GA222" s="1708"/>
      <c r="GB222" s="1708"/>
      <c r="GC222" s="1708"/>
      <c r="GD222" s="1708"/>
      <c r="GE222" s="1708"/>
      <c r="GF222" s="1708"/>
      <c r="GG222" s="1708"/>
      <c r="GH222" s="1708"/>
      <c r="GI222" s="1708"/>
      <c r="GJ222" s="1708"/>
      <c r="GK222" s="1708"/>
      <c r="GL222" s="1708"/>
      <c r="GM222" s="1708"/>
      <c r="GN222" s="1708"/>
      <c r="GO222" s="1708"/>
      <c r="GP222" s="1708"/>
      <c r="GQ222" s="1708"/>
      <c r="GR222" s="1708"/>
      <c r="GS222" s="1708"/>
      <c r="GT222" s="1708"/>
      <c r="GU222" s="1708"/>
      <c r="GV222" s="1708"/>
      <c r="GW222" s="1708"/>
      <c r="GX222" s="1708"/>
      <c r="GY222" s="1708"/>
      <c r="GZ222" s="1708"/>
      <c r="HA222" s="1708"/>
      <c r="HB222" s="1708"/>
      <c r="HC222" s="1708"/>
      <c r="HD222" s="1708"/>
      <c r="HE222" s="1708"/>
      <c r="HF222" s="1708"/>
      <c r="HG222" s="1708"/>
      <c r="HH222" s="1708"/>
      <c r="HI222" s="1708"/>
      <c r="HJ222" s="1708"/>
      <c r="HK222" s="1708"/>
      <c r="HL222" s="1708"/>
      <c r="HM222" s="1708"/>
      <c r="HN222" s="1708"/>
      <c r="HO222" s="1708"/>
      <c r="HP222" s="1708"/>
      <c r="HQ222" s="1708"/>
      <c r="HR222" s="1708"/>
      <c r="HS222" s="1708"/>
      <c r="HT222" s="1708"/>
      <c r="HU222" s="1708"/>
      <c r="HV222" s="1708"/>
      <c r="HW222" s="1708"/>
      <c r="HX222" s="1708"/>
      <c r="HY222" s="1708"/>
      <c r="HZ222" s="1708"/>
      <c r="IA222" s="1708"/>
      <c r="IB222" s="1708"/>
      <c r="IC222" s="1708"/>
      <c r="ID222" s="1708"/>
      <c r="IE222" s="1708"/>
      <c r="IF222" s="1708"/>
      <c r="IG222" s="1708"/>
      <c r="IH222" s="1708"/>
      <c r="II222" s="1708"/>
      <c r="IJ222" s="1708"/>
      <c r="IK222" s="1708"/>
      <c r="IL222" s="1708"/>
      <c r="IM222" s="1708"/>
      <c r="IN222" s="1708"/>
      <c r="IO222" s="1708"/>
      <c r="IP222" s="1708"/>
      <c r="IQ222" s="1708"/>
      <c r="IR222" s="1708"/>
      <c r="IS222" s="1708"/>
      <c r="IT222" s="1708"/>
      <c r="IU222" s="1708"/>
      <c r="IV222" s="1708"/>
    </row>
    <row r="223" spans="2:256" s="57" customFormat="1" x14ac:dyDescent="0.25">
      <c r="B223" s="1836"/>
      <c r="G223" s="1849"/>
      <c r="J223" s="1850"/>
      <c r="K223" s="1850"/>
      <c r="S223" s="1708"/>
      <c r="T223" s="1708"/>
      <c r="U223" s="1708"/>
      <c r="V223" s="1708"/>
      <c r="W223" s="1708"/>
      <c r="X223" s="1708"/>
      <c r="Y223" s="1708"/>
      <c r="Z223" s="1708"/>
      <c r="AA223" s="1708"/>
      <c r="AB223" s="1708"/>
      <c r="AC223" s="1708"/>
      <c r="AD223" s="1708"/>
      <c r="AE223" s="1708"/>
      <c r="AF223" s="1708"/>
      <c r="AG223" s="1708"/>
      <c r="AH223" s="1708"/>
      <c r="AI223" s="1708"/>
      <c r="AJ223" s="1708"/>
      <c r="AK223" s="1708"/>
      <c r="AL223" s="1708"/>
      <c r="AM223" s="1708"/>
      <c r="AN223" s="1708"/>
      <c r="AO223" s="1708"/>
      <c r="AP223" s="1708"/>
      <c r="AQ223" s="1708"/>
      <c r="AR223" s="1708"/>
      <c r="AS223" s="1708"/>
      <c r="AT223" s="1708"/>
      <c r="AU223" s="1708"/>
      <c r="AV223" s="1708"/>
      <c r="AW223" s="1708"/>
      <c r="AX223" s="1708"/>
      <c r="AY223" s="1708"/>
      <c r="AZ223" s="1708"/>
      <c r="BA223" s="1708"/>
      <c r="BB223" s="1708"/>
      <c r="BC223" s="1708"/>
      <c r="BD223" s="1708"/>
      <c r="BE223" s="1708"/>
      <c r="BF223" s="1708"/>
      <c r="BG223" s="1708"/>
      <c r="BH223" s="1708"/>
      <c r="BI223" s="1708"/>
      <c r="BJ223" s="1708"/>
      <c r="BK223" s="1708"/>
      <c r="BL223" s="1708"/>
      <c r="BM223" s="1708"/>
      <c r="BN223" s="1708"/>
      <c r="BO223" s="1708"/>
      <c r="BP223" s="1708"/>
      <c r="BQ223" s="1708"/>
      <c r="BR223" s="1708"/>
      <c r="BS223" s="1708"/>
      <c r="BT223" s="1708"/>
      <c r="BU223" s="1708"/>
      <c r="BV223" s="1708"/>
      <c r="BW223" s="1708"/>
      <c r="BX223" s="1708"/>
      <c r="BY223" s="1708"/>
      <c r="BZ223" s="1708"/>
      <c r="CA223" s="1708"/>
      <c r="CB223" s="1708"/>
      <c r="CC223" s="1708"/>
      <c r="CD223" s="1708"/>
      <c r="CE223" s="1708"/>
      <c r="CF223" s="1708"/>
      <c r="CG223" s="1708"/>
      <c r="CH223" s="1708"/>
      <c r="CI223" s="1708"/>
      <c r="CJ223" s="1708"/>
      <c r="CK223" s="1708"/>
      <c r="CL223" s="1708"/>
      <c r="CM223" s="1708"/>
      <c r="CN223" s="1708"/>
      <c r="CO223" s="1708"/>
      <c r="CP223" s="1708"/>
      <c r="CQ223" s="1708"/>
      <c r="CR223" s="1708"/>
      <c r="CS223" s="1708"/>
      <c r="CT223" s="1708"/>
      <c r="CU223" s="1708"/>
      <c r="CV223" s="1708"/>
      <c r="CW223" s="1708"/>
      <c r="CX223" s="1708"/>
      <c r="CY223" s="1708"/>
      <c r="CZ223" s="1708"/>
      <c r="DA223" s="1708"/>
      <c r="DB223" s="1708"/>
      <c r="DC223" s="1708"/>
      <c r="DD223" s="1708"/>
      <c r="DE223" s="1708"/>
      <c r="DF223" s="1708"/>
      <c r="DG223" s="1708"/>
      <c r="DH223" s="1708"/>
      <c r="DI223" s="1708"/>
      <c r="DJ223" s="1708"/>
      <c r="DK223" s="1708"/>
      <c r="DL223" s="1708"/>
      <c r="DM223" s="1708"/>
      <c r="DN223" s="1708"/>
      <c r="DO223" s="1708"/>
      <c r="DP223" s="1708"/>
      <c r="DQ223" s="1708"/>
      <c r="DR223" s="1708"/>
      <c r="DS223" s="1708"/>
      <c r="DT223" s="1708"/>
      <c r="DU223" s="1708"/>
      <c r="DV223" s="1708"/>
      <c r="DW223" s="1708"/>
      <c r="DX223" s="1708"/>
      <c r="DY223" s="1708"/>
      <c r="DZ223" s="1708"/>
      <c r="EA223" s="1708"/>
      <c r="EB223" s="1708"/>
      <c r="EC223" s="1708"/>
      <c r="ED223" s="1708"/>
      <c r="EE223" s="1708"/>
      <c r="EF223" s="1708"/>
      <c r="EG223" s="1708"/>
      <c r="EH223" s="1708"/>
      <c r="EI223" s="1708"/>
      <c r="EJ223" s="1708"/>
      <c r="EK223" s="1708"/>
      <c r="EL223" s="1708"/>
      <c r="EM223" s="1708"/>
      <c r="EN223" s="1708"/>
      <c r="EO223" s="1708"/>
      <c r="EP223" s="1708"/>
      <c r="EQ223" s="1708"/>
      <c r="ER223" s="1708"/>
      <c r="ES223" s="1708"/>
      <c r="ET223" s="1708"/>
      <c r="EU223" s="1708"/>
      <c r="EV223" s="1708"/>
      <c r="EW223" s="1708"/>
      <c r="EX223" s="1708"/>
      <c r="EY223" s="1708"/>
      <c r="EZ223" s="1708"/>
      <c r="FA223" s="1708"/>
      <c r="FB223" s="1708"/>
      <c r="FC223" s="1708"/>
      <c r="FD223" s="1708"/>
      <c r="FE223" s="1708"/>
      <c r="FF223" s="1708"/>
      <c r="FG223" s="1708"/>
      <c r="FH223" s="1708"/>
      <c r="FI223" s="1708"/>
      <c r="FJ223" s="1708"/>
      <c r="FK223" s="1708"/>
      <c r="FL223" s="1708"/>
      <c r="FM223" s="1708"/>
      <c r="FN223" s="1708"/>
      <c r="FO223" s="1708"/>
      <c r="FP223" s="1708"/>
      <c r="FQ223" s="1708"/>
      <c r="FR223" s="1708"/>
      <c r="FS223" s="1708"/>
      <c r="FT223" s="1708"/>
      <c r="FU223" s="1708"/>
      <c r="FV223" s="1708"/>
      <c r="FW223" s="1708"/>
      <c r="FX223" s="1708"/>
      <c r="FY223" s="1708"/>
      <c r="FZ223" s="1708"/>
      <c r="GA223" s="1708"/>
      <c r="GB223" s="1708"/>
      <c r="GC223" s="1708"/>
      <c r="GD223" s="1708"/>
      <c r="GE223" s="1708"/>
      <c r="GF223" s="1708"/>
      <c r="GG223" s="1708"/>
      <c r="GH223" s="1708"/>
      <c r="GI223" s="1708"/>
      <c r="GJ223" s="1708"/>
      <c r="GK223" s="1708"/>
      <c r="GL223" s="1708"/>
      <c r="GM223" s="1708"/>
      <c r="GN223" s="1708"/>
      <c r="GO223" s="1708"/>
      <c r="GP223" s="1708"/>
      <c r="GQ223" s="1708"/>
      <c r="GR223" s="1708"/>
      <c r="GS223" s="1708"/>
      <c r="GT223" s="1708"/>
      <c r="GU223" s="1708"/>
      <c r="GV223" s="1708"/>
      <c r="GW223" s="1708"/>
      <c r="GX223" s="1708"/>
      <c r="GY223" s="1708"/>
      <c r="GZ223" s="1708"/>
      <c r="HA223" s="1708"/>
      <c r="HB223" s="1708"/>
      <c r="HC223" s="1708"/>
      <c r="HD223" s="1708"/>
      <c r="HE223" s="1708"/>
      <c r="HF223" s="1708"/>
      <c r="HG223" s="1708"/>
      <c r="HH223" s="1708"/>
      <c r="HI223" s="1708"/>
      <c r="HJ223" s="1708"/>
      <c r="HK223" s="1708"/>
      <c r="HL223" s="1708"/>
      <c r="HM223" s="1708"/>
      <c r="HN223" s="1708"/>
      <c r="HO223" s="1708"/>
      <c r="HP223" s="1708"/>
      <c r="HQ223" s="1708"/>
      <c r="HR223" s="1708"/>
      <c r="HS223" s="1708"/>
      <c r="HT223" s="1708"/>
      <c r="HU223" s="1708"/>
      <c r="HV223" s="1708"/>
      <c r="HW223" s="1708"/>
      <c r="HX223" s="1708"/>
      <c r="HY223" s="1708"/>
      <c r="HZ223" s="1708"/>
      <c r="IA223" s="1708"/>
      <c r="IB223" s="1708"/>
      <c r="IC223" s="1708"/>
      <c r="ID223" s="1708"/>
      <c r="IE223" s="1708"/>
      <c r="IF223" s="1708"/>
      <c r="IG223" s="1708"/>
      <c r="IH223" s="1708"/>
      <c r="II223" s="1708"/>
      <c r="IJ223" s="1708"/>
      <c r="IK223" s="1708"/>
      <c r="IL223" s="1708"/>
      <c r="IM223" s="1708"/>
      <c r="IN223" s="1708"/>
      <c r="IO223" s="1708"/>
      <c r="IP223" s="1708"/>
      <c r="IQ223" s="1708"/>
      <c r="IR223" s="1708"/>
      <c r="IS223" s="1708"/>
      <c r="IT223" s="1708"/>
      <c r="IU223" s="1708"/>
      <c r="IV223" s="1708"/>
    </row>
    <row r="224" spans="2:256" s="57" customFormat="1" x14ac:dyDescent="0.25">
      <c r="B224" s="1836"/>
      <c r="G224" s="1849"/>
      <c r="J224" s="1850"/>
      <c r="K224" s="1850"/>
      <c r="S224" s="1708"/>
      <c r="T224" s="1708"/>
      <c r="U224" s="1708"/>
      <c r="V224" s="1708"/>
      <c r="W224" s="1708"/>
      <c r="X224" s="1708"/>
      <c r="Y224" s="1708"/>
      <c r="Z224" s="1708"/>
      <c r="AA224" s="1708"/>
      <c r="AB224" s="1708"/>
      <c r="AC224" s="1708"/>
      <c r="AD224" s="1708"/>
      <c r="AE224" s="1708"/>
      <c r="AF224" s="1708"/>
      <c r="AG224" s="1708"/>
      <c r="AH224" s="1708"/>
      <c r="AI224" s="1708"/>
      <c r="AJ224" s="1708"/>
      <c r="AK224" s="1708"/>
      <c r="AL224" s="1708"/>
      <c r="AM224" s="1708"/>
      <c r="AN224" s="1708"/>
      <c r="AO224" s="1708"/>
      <c r="AP224" s="1708"/>
      <c r="AQ224" s="1708"/>
      <c r="AR224" s="1708"/>
      <c r="AS224" s="1708"/>
      <c r="AT224" s="1708"/>
      <c r="AU224" s="1708"/>
      <c r="AV224" s="1708"/>
      <c r="AW224" s="1708"/>
      <c r="AX224" s="1708"/>
      <c r="AY224" s="1708"/>
      <c r="AZ224" s="1708"/>
      <c r="BA224" s="1708"/>
      <c r="BB224" s="1708"/>
      <c r="BC224" s="1708"/>
      <c r="BD224" s="1708"/>
      <c r="BE224" s="1708"/>
      <c r="BF224" s="1708"/>
      <c r="BG224" s="1708"/>
      <c r="BH224" s="1708"/>
      <c r="BI224" s="1708"/>
      <c r="BJ224" s="1708"/>
      <c r="BK224" s="1708"/>
      <c r="BL224" s="1708"/>
      <c r="BM224" s="1708"/>
      <c r="BN224" s="1708"/>
      <c r="BO224" s="1708"/>
      <c r="BP224" s="1708"/>
      <c r="BQ224" s="1708"/>
      <c r="BR224" s="1708"/>
      <c r="BS224" s="1708"/>
      <c r="BT224" s="1708"/>
      <c r="BU224" s="1708"/>
      <c r="BV224" s="1708"/>
      <c r="BW224" s="1708"/>
      <c r="BX224" s="1708"/>
      <c r="BY224" s="1708"/>
      <c r="BZ224" s="1708"/>
      <c r="CA224" s="1708"/>
      <c r="CB224" s="1708"/>
      <c r="CC224" s="1708"/>
      <c r="CD224" s="1708"/>
      <c r="CE224" s="1708"/>
      <c r="CF224" s="1708"/>
      <c r="CG224" s="1708"/>
      <c r="CH224" s="1708"/>
      <c r="CI224" s="1708"/>
      <c r="CJ224" s="1708"/>
      <c r="CK224" s="1708"/>
      <c r="CL224" s="1708"/>
      <c r="CM224" s="1708"/>
      <c r="CN224" s="1708"/>
      <c r="CO224" s="1708"/>
      <c r="CP224" s="1708"/>
      <c r="CQ224" s="1708"/>
      <c r="CR224" s="1708"/>
      <c r="CS224" s="1708"/>
      <c r="CT224" s="1708"/>
      <c r="CU224" s="1708"/>
      <c r="CV224" s="1708"/>
      <c r="CW224" s="1708"/>
      <c r="CX224" s="1708"/>
      <c r="CY224" s="1708"/>
      <c r="CZ224" s="1708"/>
      <c r="DA224" s="1708"/>
      <c r="DB224" s="1708"/>
      <c r="DC224" s="1708"/>
      <c r="DD224" s="1708"/>
      <c r="DE224" s="1708"/>
      <c r="DF224" s="1708"/>
      <c r="DG224" s="1708"/>
      <c r="DH224" s="1708"/>
      <c r="DI224" s="1708"/>
      <c r="DJ224" s="1708"/>
      <c r="DK224" s="1708"/>
      <c r="DL224" s="1708"/>
      <c r="DM224" s="1708"/>
      <c r="DN224" s="1708"/>
      <c r="DO224" s="1708"/>
      <c r="DP224" s="1708"/>
      <c r="DQ224" s="1708"/>
      <c r="DR224" s="1708"/>
      <c r="DS224" s="1708"/>
      <c r="DT224" s="1708"/>
      <c r="DU224" s="1708"/>
      <c r="DV224" s="1708"/>
      <c r="DW224" s="1708"/>
      <c r="DX224" s="1708"/>
      <c r="DY224" s="1708"/>
      <c r="DZ224" s="1708"/>
      <c r="EA224" s="1708"/>
      <c r="EB224" s="1708"/>
      <c r="EC224" s="1708"/>
      <c r="ED224" s="1708"/>
      <c r="EE224" s="1708"/>
      <c r="EF224" s="1708"/>
      <c r="EG224" s="1708"/>
      <c r="EH224" s="1708"/>
      <c r="EI224" s="1708"/>
      <c r="EJ224" s="1708"/>
      <c r="EK224" s="1708"/>
      <c r="EL224" s="1708"/>
      <c r="EM224" s="1708"/>
      <c r="EN224" s="1708"/>
      <c r="EO224" s="1708"/>
      <c r="EP224" s="1708"/>
      <c r="EQ224" s="1708"/>
      <c r="ER224" s="1708"/>
      <c r="ES224" s="1708"/>
      <c r="ET224" s="1708"/>
      <c r="EU224" s="1708"/>
      <c r="EV224" s="1708"/>
      <c r="EW224" s="1708"/>
      <c r="EX224" s="1708"/>
      <c r="EY224" s="1708"/>
      <c r="EZ224" s="1708"/>
      <c r="FA224" s="1708"/>
      <c r="FB224" s="1708"/>
      <c r="FC224" s="1708"/>
      <c r="FD224" s="1708"/>
      <c r="FE224" s="1708"/>
      <c r="FF224" s="1708"/>
      <c r="FG224" s="1708"/>
      <c r="FH224" s="1708"/>
      <c r="FI224" s="1708"/>
      <c r="FJ224" s="1708"/>
      <c r="FK224" s="1708"/>
      <c r="FL224" s="1708"/>
      <c r="FM224" s="1708"/>
      <c r="FN224" s="1708"/>
      <c r="FO224" s="1708"/>
      <c r="FP224" s="1708"/>
      <c r="FQ224" s="1708"/>
      <c r="FR224" s="1708"/>
      <c r="FS224" s="1708"/>
      <c r="FT224" s="1708"/>
      <c r="FU224" s="1708"/>
      <c r="FV224" s="1708"/>
      <c r="FW224" s="1708"/>
      <c r="FX224" s="1708"/>
      <c r="FY224" s="1708"/>
      <c r="FZ224" s="1708"/>
      <c r="GA224" s="1708"/>
      <c r="GB224" s="1708"/>
      <c r="GC224" s="1708"/>
      <c r="GD224" s="1708"/>
      <c r="GE224" s="1708"/>
      <c r="GF224" s="1708"/>
      <c r="GG224" s="1708"/>
      <c r="GH224" s="1708"/>
      <c r="GI224" s="1708"/>
      <c r="GJ224" s="1708"/>
      <c r="GK224" s="1708"/>
      <c r="GL224" s="1708"/>
      <c r="GM224" s="1708"/>
      <c r="GN224" s="1708"/>
      <c r="GO224" s="1708"/>
      <c r="GP224" s="1708"/>
      <c r="GQ224" s="1708"/>
      <c r="GR224" s="1708"/>
      <c r="GS224" s="1708"/>
      <c r="GT224" s="1708"/>
      <c r="GU224" s="1708"/>
      <c r="GV224" s="1708"/>
      <c r="GW224" s="1708"/>
      <c r="GX224" s="1708"/>
      <c r="GY224" s="1708"/>
      <c r="GZ224" s="1708"/>
      <c r="HA224" s="1708"/>
      <c r="HB224" s="1708"/>
      <c r="HC224" s="1708"/>
      <c r="HD224" s="1708"/>
      <c r="HE224" s="1708"/>
      <c r="HF224" s="1708"/>
      <c r="HG224" s="1708"/>
      <c r="HH224" s="1708"/>
      <c r="HI224" s="1708"/>
      <c r="HJ224" s="1708"/>
      <c r="HK224" s="1708"/>
      <c r="HL224" s="1708"/>
      <c r="HM224" s="1708"/>
      <c r="HN224" s="1708"/>
      <c r="HO224" s="1708"/>
      <c r="HP224" s="1708"/>
      <c r="HQ224" s="1708"/>
      <c r="HR224" s="1708"/>
      <c r="HS224" s="1708"/>
      <c r="HT224" s="1708"/>
      <c r="HU224" s="1708"/>
      <c r="HV224" s="1708"/>
      <c r="HW224" s="1708"/>
      <c r="HX224" s="1708"/>
      <c r="HY224" s="1708"/>
      <c r="HZ224" s="1708"/>
      <c r="IA224" s="1708"/>
      <c r="IB224" s="1708"/>
      <c r="IC224" s="1708"/>
      <c r="ID224" s="1708"/>
      <c r="IE224" s="1708"/>
      <c r="IF224" s="1708"/>
      <c r="IG224" s="1708"/>
      <c r="IH224" s="1708"/>
      <c r="II224" s="1708"/>
      <c r="IJ224" s="1708"/>
      <c r="IK224" s="1708"/>
      <c r="IL224" s="1708"/>
      <c r="IM224" s="1708"/>
      <c r="IN224" s="1708"/>
      <c r="IO224" s="1708"/>
      <c r="IP224" s="1708"/>
      <c r="IQ224" s="1708"/>
      <c r="IR224" s="1708"/>
      <c r="IS224" s="1708"/>
      <c r="IT224" s="1708"/>
      <c r="IU224" s="1708"/>
      <c r="IV224" s="1708"/>
    </row>
    <row r="225" spans="2:256" s="57" customFormat="1" x14ac:dyDescent="0.25">
      <c r="B225" s="1836"/>
      <c r="G225" s="1849"/>
      <c r="J225" s="1850"/>
      <c r="K225" s="1850"/>
      <c r="S225" s="1708"/>
      <c r="T225" s="1708"/>
      <c r="U225" s="1708"/>
      <c r="V225" s="1708"/>
      <c r="W225" s="1708"/>
      <c r="X225" s="1708"/>
      <c r="Y225" s="1708"/>
      <c r="Z225" s="1708"/>
      <c r="AA225" s="1708"/>
      <c r="AB225" s="1708"/>
      <c r="AC225" s="1708"/>
      <c r="AD225" s="1708"/>
      <c r="AE225" s="1708"/>
      <c r="AF225" s="1708"/>
      <c r="AG225" s="1708"/>
      <c r="AH225" s="1708"/>
      <c r="AI225" s="1708"/>
      <c r="AJ225" s="1708"/>
      <c r="AK225" s="1708"/>
      <c r="AL225" s="1708"/>
      <c r="AM225" s="1708"/>
      <c r="AN225" s="1708"/>
      <c r="AO225" s="1708"/>
      <c r="AP225" s="1708"/>
      <c r="AQ225" s="1708"/>
      <c r="AR225" s="1708"/>
      <c r="AS225" s="1708"/>
      <c r="AT225" s="1708"/>
      <c r="AU225" s="1708"/>
      <c r="AV225" s="1708"/>
      <c r="AW225" s="1708"/>
      <c r="AX225" s="1708"/>
      <c r="AY225" s="1708"/>
      <c r="AZ225" s="1708"/>
      <c r="BA225" s="1708"/>
      <c r="BB225" s="1708"/>
      <c r="BC225" s="1708"/>
      <c r="BD225" s="1708"/>
      <c r="BE225" s="1708"/>
      <c r="BF225" s="1708"/>
      <c r="BG225" s="1708"/>
      <c r="BH225" s="1708"/>
      <c r="BI225" s="1708"/>
      <c r="BJ225" s="1708"/>
      <c r="BK225" s="1708"/>
      <c r="BL225" s="1708"/>
      <c r="BM225" s="1708"/>
      <c r="BN225" s="1708"/>
      <c r="BO225" s="1708"/>
      <c r="BP225" s="1708"/>
      <c r="BQ225" s="1708"/>
      <c r="BR225" s="1708"/>
      <c r="BS225" s="1708"/>
      <c r="BT225" s="1708"/>
      <c r="BU225" s="1708"/>
      <c r="BV225" s="1708"/>
      <c r="BW225" s="1708"/>
      <c r="BX225" s="1708"/>
      <c r="BY225" s="1708"/>
      <c r="BZ225" s="1708"/>
      <c r="CA225" s="1708"/>
      <c r="CB225" s="1708"/>
      <c r="CC225" s="1708"/>
      <c r="CD225" s="1708"/>
      <c r="CE225" s="1708"/>
      <c r="CF225" s="1708"/>
      <c r="CG225" s="1708"/>
      <c r="CH225" s="1708"/>
      <c r="CI225" s="1708"/>
      <c r="CJ225" s="1708"/>
      <c r="CK225" s="1708"/>
      <c r="CL225" s="1708"/>
      <c r="CM225" s="1708"/>
      <c r="CN225" s="1708"/>
      <c r="CO225" s="1708"/>
      <c r="CP225" s="1708"/>
      <c r="CQ225" s="1708"/>
      <c r="CR225" s="1708"/>
      <c r="CS225" s="1708"/>
      <c r="CT225" s="1708"/>
      <c r="CU225" s="1708"/>
      <c r="CV225" s="1708"/>
      <c r="CW225" s="1708"/>
      <c r="CX225" s="1708"/>
      <c r="CY225" s="1708"/>
      <c r="CZ225" s="1708"/>
      <c r="DA225" s="1708"/>
      <c r="DB225" s="1708"/>
      <c r="DC225" s="1708"/>
      <c r="DD225" s="1708"/>
      <c r="DE225" s="1708"/>
      <c r="DF225" s="1708"/>
      <c r="DG225" s="1708"/>
      <c r="DH225" s="1708"/>
      <c r="DI225" s="1708"/>
      <c r="DJ225" s="1708"/>
      <c r="DK225" s="1708"/>
      <c r="DL225" s="1708"/>
      <c r="DM225" s="1708"/>
      <c r="DN225" s="1708"/>
      <c r="DO225" s="1708"/>
      <c r="DP225" s="1708"/>
      <c r="DQ225" s="1708"/>
      <c r="DR225" s="1708"/>
      <c r="DS225" s="1708"/>
      <c r="DT225" s="1708"/>
      <c r="DU225" s="1708"/>
      <c r="DV225" s="1708"/>
      <c r="DW225" s="1708"/>
      <c r="DX225" s="1708"/>
      <c r="DY225" s="1708"/>
      <c r="DZ225" s="1708"/>
      <c r="EA225" s="1708"/>
      <c r="EB225" s="1708"/>
      <c r="EC225" s="1708"/>
      <c r="ED225" s="1708"/>
      <c r="EE225" s="1708"/>
      <c r="EF225" s="1708"/>
      <c r="EG225" s="1708"/>
      <c r="EH225" s="1708"/>
      <c r="EI225" s="1708"/>
      <c r="EJ225" s="1708"/>
      <c r="EK225" s="1708"/>
      <c r="EL225" s="1708"/>
      <c r="EM225" s="1708"/>
      <c r="EN225" s="1708"/>
      <c r="EO225" s="1708"/>
      <c r="EP225" s="1708"/>
      <c r="EQ225" s="1708"/>
      <c r="ER225" s="1708"/>
      <c r="ES225" s="1708"/>
      <c r="ET225" s="1708"/>
      <c r="EU225" s="1708"/>
      <c r="EV225" s="1708"/>
      <c r="EW225" s="1708"/>
      <c r="EX225" s="1708"/>
      <c r="EY225" s="1708"/>
      <c r="EZ225" s="1708"/>
      <c r="FA225" s="1708"/>
      <c r="FB225" s="1708"/>
      <c r="FC225" s="1708"/>
      <c r="FD225" s="1708"/>
      <c r="FE225" s="1708"/>
      <c r="FF225" s="1708"/>
      <c r="FG225" s="1708"/>
      <c r="FH225" s="1708"/>
      <c r="FI225" s="1708"/>
      <c r="FJ225" s="1708"/>
      <c r="FK225" s="1708"/>
      <c r="FL225" s="1708"/>
      <c r="FM225" s="1708"/>
      <c r="FN225" s="1708"/>
      <c r="FO225" s="1708"/>
      <c r="FP225" s="1708"/>
      <c r="FQ225" s="1708"/>
      <c r="FR225" s="1708"/>
      <c r="FS225" s="1708"/>
      <c r="FT225" s="1708"/>
      <c r="FU225" s="1708"/>
      <c r="FV225" s="1708"/>
      <c r="FW225" s="1708"/>
      <c r="FX225" s="1708"/>
      <c r="FY225" s="1708"/>
      <c r="FZ225" s="1708"/>
      <c r="GA225" s="1708"/>
      <c r="GB225" s="1708"/>
      <c r="GC225" s="1708"/>
      <c r="GD225" s="1708"/>
      <c r="GE225" s="1708"/>
      <c r="GF225" s="1708"/>
      <c r="GG225" s="1708"/>
      <c r="GH225" s="1708"/>
      <c r="GI225" s="1708"/>
      <c r="GJ225" s="1708"/>
      <c r="GK225" s="1708"/>
      <c r="GL225" s="1708"/>
      <c r="GM225" s="1708"/>
      <c r="GN225" s="1708"/>
      <c r="GO225" s="1708"/>
      <c r="GP225" s="1708"/>
      <c r="GQ225" s="1708"/>
      <c r="GR225" s="1708"/>
      <c r="GS225" s="1708"/>
      <c r="GT225" s="1708"/>
      <c r="GU225" s="1708"/>
      <c r="GV225" s="1708"/>
      <c r="GW225" s="1708"/>
      <c r="GX225" s="1708"/>
      <c r="GY225" s="1708"/>
      <c r="GZ225" s="1708"/>
      <c r="HA225" s="1708"/>
      <c r="HB225" s="1708"/>
      <c r="HC225" s="1708"/>
      <c r="HD225" s="1708"/>
      <c r="HE225" s="1708"/>
      <c r="HF225" s="1708"/>
      <c r="HG225" s="1708"/>
      <c r="HH225" s="1708"/>
      <c r="HI225" s="1708"/>
      <c r="HJ225" s="1708"/>
      <c r="HK225" s="1708"/>
      <c r="HL225" s="1708"/>
      <c r="HM225" s="1708"/>
      <c r="HN225" s="1708"/>
      <c r="HO225" s="1708"/>
      <c r="HP225" s="1708"/>
      <c r="HQ225" s="1708"/>
      <c r="HR225" s="1708"/>
      <c r="HS225" s="1708"/>
      <c r="HT225" s="1708"/>
      <c r="HU225" s="1708"/>
      <c r="HV225" s="1708"/>
      <c r="HW225" s="1708"/>
      <c r="HX225" s="1708"/>
      <c r="HY225" s="1708"/>
      <c r="HZ225" s="1708"/>
      <c r="IA225" s="1708"/>
      <c r="IB225" s="1708"/>
      <c r="IC225" s="1708"/>
      <c r="ID225" s="1708"/>
      <c r="IE225" s="1708"/>
      <c r="IF225" s="1708"/>
      <c r="IG225" s="1708"/>
      <c r="IH225" s="1708"/>
      <c r="II225" s="1708"/>
      <c r="IJ225" s="1708"/>
      <c r="IK225" s="1708"/>
      <c r="IL225" s="1708"/>
      <c r="IM225" s="1708"/>
      <c r="IN225" s="1708"/>
      <c r="IO225" s="1708"/>
      <c r="IP225" s="1708"/>
      <c r="IQ225" s="1708"/>
      <c r="IR225" s="1708"/>
      <c r="IS225" s="1708"/>
      <c r="IT225" s="1708"/>
      <c r="IU225" s="1708"/>
      <c r="IV225" s="1708"/>
    </row>
    <row r="226" spans="2:256" s="57" customFormat="1" x14ac:dyDescent="0.25">
      <c r="B226" s="1836"/>
      <c r="G226" s="1849"/>
      <c r="J226" s="1850"/>
      <c r="K226" s="1850"/>
      <c r="S226" s="1708"/>
      <c r="T226" s="1708"/>
      <c r="U226" s="1708"/>
      <c r="V226" s="1708"/>
      <c r="W226" s="1708"/>
      <c r="X226" s="1708"/>
      <c r="Y226" s="1708"/>
      <c r="Z226" s="1708"/>
      <c r="AA226" s="1708"/>
      <c r="AB226" s="1708"/>
      <c r="AC226" s="1708"/>
      <c r="AD226" s="1708"/>
      <c r="AE226" s="1708"/>
      <c r="AF226" s="1708"/>
      <c r="AG226" s="1708"/>
      <c r="AH226" s="1708"/>
      <c r="AI226" s="1708"/>
      <c r="AJ226" s="1708"/>
      <c r="AK226" s="1708"/>
      <c r="AL226" s="1708"/>
      <c r="AM226" s="1708"/>
      <c r="AN226" s="1708"/>
      <c r="AO226" s="1708"/>
      <c r="AP226" s="1708"/>
      <c r="AQ226" s="1708"/>
      <c r="AR226" s="1708"/>
      <c r="AS226" s="1708"/>
      <c r="AT226" s="1708"/>
      <c r="AU226" s="1708"/>
      <c r="AV226" s="1708"/>
      <c r="AW226" s="1708"/>
      <c r="AX226" s="1708"/>
      <c r="AY226" s="1708"/>
      <c r="AZ226" s="1708"/>
      <c r="BA226" s="1708"/>
      <c r="BB226" s="1708"/>
      <c r="BC226" s="1708"/>
      <c r="BD226" s="1708"/>
      <c r="BE226" s="1708"/>
      <c r="BF226" s="1708"/>
      <c r="BG226" s="1708"/>
      <c r="BH226" s="1708"/>
      <c r="BI226" s="1708"/>
      <c r="BJ226" s="1708"/>
      <c r="BK226" s="1708"/>
      <c r="BL226" s="1708"/>
      <c r="BM226" s="1708"/>
      <c r="BN226" s="1708"/>
      <c r="BO226" s="1708"/>
      <c r="BP226" s="1708"/>
      <c r="BQ226" s="1708"/>
      <c r="BR226" s="1708"/>
      <c r="BS226" s="1708"/>
      <c r="BT226" s="1708"/>
      <c r="BU226" s="1708"/>
      <c r="BV226" s="1708"/>
      <c r="BW226" s="1708"/>
      <c r="BX226" s="1708"/>
      <c r="BY226" s="1708"/>
      <c r="BZ226" s="1708"/>
      <c r="CA226" s="1708"/>
      <c r="CB226" s="1708"/>
      <c r="CC226" s="1708"/>
      <c r="CD226" s="1708"/>
      <c r="CE226" s="1708"/>
      <c r="CF226" s="1708"/>
      <c r="CG226" s="1708"/>
      <c r="CH226" s="1708"/>
      <c r="CI226" s="1708"/>
      <c r="CJ226" s="1708"/>
      <c r="CK226" s="1708"/>
      <c r="CL226" s="1708"/>
      <c r="CM226" s="1708"/>
      <c r="CN226" s="1708"/>
      <c r="CO226" s="1708"/>
      <c r="CP226" s="1708"/>
      <c r="CQ226" s="1708"/>
      <c r="CR226" s="1708"/>
      <c r="CS226" s="1708"/>
      <c r="CT226" s="1708"/>
      <c r="CU226" s="1708"/>
      <c r="CV226" s="1708"/>
      <c r="CW226" s="1708"/>
      <c r="CX226" s="1708"/>
      <c r="CY226" s="1708"/>
      <c r="CZ226" s="1708"/>
      <c r="DA226" s="1708"/>
      <c r="DB226" s="1708"/>
      <c r="DC226" s="1708"/>
      <c r="DD226" s="1708"/>
      <c r="DE226" s="1708"/>
      <c r="DF226" s="1708"/>
      <c r="DG226" s="1708"/>
      <c r="DH226" s="1708"/>
      <c r="DI226" s="1708"/>
      <c r="DJ226" s="1708"/>
      <c r="DK226" s="1708"/>
      <c r="DL226" s="1708"/>
      <c r="DM226" s="1708"/>
      <c r="DN226" s="1708"/>
      <c r="DO226" s="1708"/>
      <c r="DP226" s="1708"/>
      <c r="DQ226" s="1708"/>
      <c r="DR226" s="1708"/>
      <c r="DS226" s="1708"/>
      <c r="DT226" s="1708"/>
      <c r="DU226" s="1708"/>
      <c r="DV226" s="1708"/>
      <c r="DW226" s="1708"/>
      <c r="DX226" s="1708"/>
      <c r="DY226" s="1708"/>
      <c r="DZ226" s="1708"/>
      <c r="EA226" s="1708"/>
      <c r="EB226" s="1708"/>
      <c r="EC226" s="1708"/>
      <c r="ED226" s="1708"/>
      <c r="EE226" s="1708"/>
      <c r="EF226" s="1708"/>
      <c r="EG226" s="1708"/>
      <c r="EH226" s="1708"/>
      <c r="EI226" s="1708"/>
      <c r="EJ226" s="1708"/>
      <c r="EK226" s="1708"/>
      <c r="EL226" s="1708"/>
      <c r="EM226" s="1708"/>
      <c r="EN226" s="1708"/>
      <c r="EO226" s="1708"/>
      <c r="EP226" s="1708"/>
      <c r="EQ226" s="1708"/>
      <c r="ER226" s="1708"/>
      <c r="ES226" s="1708"/>
      <c r="ET226" s="1708"/>
      <c r="EU226" s="1708"/>
      <c r="EV226" s="1708"/>
      <c r="EW226" s="1708"/>
      <c r="EX226" s="1708"/>
      <c r="EY226" s="1708"/>
      <c r="EZ226" s="1708"/>
      <c r="FA226" s="1708"/>
      <c r="FB226" s="1708"/>
      <c r="FC226" s="1708"/>
      <c r="FD226" s="1708"/>
      <c r="FE226" s="1708"/>
      <c r="FF226" s="1708"/>
      <c r="FG226" s="1708"/>
      <c r="FH226" s="1708"/>
      <c r="FI226" s="1708"/>
      <c r="FJ226" s="1708"/>
      <c r="FK226" s="1708"/>
      <c r="FL226" s="1708"/>
      <c r="FM226" s="1708"/>
      <c r="FN226" s="1708"/>
      <c r="FO226" s="1708"/>
      <c r="FP226" s="1708"/>
      <c r="FQ226" s="1708"/>
      <c r="FR226" s="1708"/>
      <c r="FS226" s="1708"/>
      <c r="FT226" s="1708"/>
      <c r="FU226" s="1708"/>
      <c r="FV226" s="1708"/>
      <c r="FW226" s="1708"/>
      <c r="FX226" s="1708"/>
      <c r="FY226" s="1708"/>
      <c r="FZ226" s="1708"/>
      <c r="GA226" s="1708"/>
      <c r="GB226" s="1708"/>
      <c r="GC226" s="1708"/>
      <c r="GD226" s="1708"/>
      <c r="GE226" s="1708"/>
      <c r="GF226" s="1708"/>
      <c r="GG226" s="1708"/>
      <c r="GH226" s="1708"/>
      <c r="GI226" s="1708"/>
      <c r="GJ226" s="1708"/>
      <c r="GK226" s="1708"/>
      <c r="GL226" s="1708"/>
      <c r="GM226" s="1708"/>
      <c r="GN226" s="1708"/>
      <c r="GO226" s="1708"/>
      <c r="GP226" s="1708"/>
      <c r="GQ226" s="1708"/>
      <c r="GR226" s="1708"/>
      <c r="GS226" s="1708"/>
      <c r="GT226" s="1708"/>
      <c r="GU226" s="1708"/>
      <c r="GV226" s="1708"/>
      <c r="GW226" s="1708"/>
      <c r="GX226" s="1708"/>
      <c r="GY226" s="1708"/>
      <c r="GZ226" s="1708"/>
      <c r="HA226" s="1708"/>
      <c r="HB226" s="1708"/>
      <c r="HC226" s="1708"/>
      <c r="HD226" s="1708"/>
      <c r="HE226" s="1708"/>
      <c r="HF226" s="1708"/>
      <c r="HG226" s="1708"/>
      <c r="HH226" s="1708"/>
      <c r="HI226" s="1708"/>
      <c r="HJ226" s="1708"/>
      <c r="HK226" s="1708"/>
      <c r="HL226" s="1708"/>
      <c r="HM226" s="1708"/>
      <c r="HN226" s="1708"/>
      <c r="HO226" s="1708"/>
      <c r="HP226" s="1708"/>
      <c r="HQ226" s="1708"/>
      <c r="HR226" s="1708"/>
      <c r="HS226" s="1708"/>
      <c r="HT226" s="1708"/>
      <c r="HU226" s="1708"/>
      <c r="HV226" s="1708"/>
      <c r="HW226" s="1708"/>
      <c r="HX226" s="1708"/>
      <c r="HY226" s="1708"/>
      <c r="HZ226" s="1708"/>
      <c r="IA226" s="1708"/>
      <c r="IB226" s="1708"/>
      <c r="IC226" s="1708"/>
      <c r="ID226" s="1708"/>
      <c r="IE226" s="1708"/>
      <c r="IF226" s="1708"/>
      <c r="IG226" s="1708"/>
      <c r="IH226" s="1708"/>
      <c r="II226" s="1708"/>
      <c r="IJ226" s="1708"/>
      <c r="IK226" s="1708"/>
      <c r="IL226" s="1708"/>
      <c r="IM226" s="1708"/>
      <c r="IN226" s="1708"/>
      <c r="IO226" s="1708"/>
      <c r="IP226" s="1708"/>
      <c r="IQ226" s="1708"/>
      <c r="IR226" s="1708"/>
      <c r="IS226" s="1708"/>
      <c r="IT226" s="1708"/>
      <c r="IU226" s="1708"/>
      <c r="IV226" s="1708"/>
    </row>
    <row r="227" spans="2:256" s="57" customFormat="1" x14ac:dyDescent="0.25">
      <c r="B227" s="1836"/>
      <c r="G227" s="1849"/>
      <c r="J227" s="1850"/>
      <c r="K227" s="1850"/>
      <c r="S227" s="1708"/>
      <c r="T227" s="1708"/>
      <c r="U227" s="1708"/>
      <c r="V227" s="1708"/>
      <c r="W227" s="1708"/>
      <c r="X227" s="1708"/>
      <c r="Y227" s="1708"/>
      <c r="Z227" s="1708"/>
      <c r="AA227" s="1708"/>
      <c r="AB227" s="1708"/>
      <c r="AC227" s="1708"/>
      <c r="AD227" s="1708"/>
      <c r="AE227" s="1708"/>
      <c r="AF227" s="1708"/>
      <c r="AG227" s="1708"/>
      <c r="AH227" s="1708"/>
      <c r="AI227" s="1708"/>
      <c r="AJ227" s="1708"/>
      <c r="AK227" s="1708"/>
      <c r="AL227" s="1708"/>
      <c r="AM227" s="1708"/>
      <c r="AN227" s="1708"/>
      <c r="AO227" s="1708"/>
      <c r="AP227" s="1708"/>
      <c r="AQ227" s="1708"/>
      <c r="AR227" s="1708"/>
      <c r="AS227" s="1708"/>
      <c r="AT227" s="1708"/>
      <c r="AU227" s="1708"/>
      <c r="AV227" s="1708"/>
      <c r="AW227" s="1708"/>
      <c r="AX227" s="1708"/>
      <c r="AY227" s="1708"/>
      <c r="AZ227" s="1708"/>
      <c r="BA227" s="1708"/>
      <c r="BB227" s="1708"/>
      <c r="BC227" s="1708"/>
      <c r="BD227" s="1708"/>
      <c r="BE227" s="1708"/>
      <c r="BF227" s="1708"/>
      <c r="BG227" s="1708"/>
      <c r="BH227" s="1708"/>
      <c r="BI227" s="1708"/>
      <c r="BJ227" s="1708"/>
      <c r="BK227" s="1708"/>
      <c r="BL227" s="1708"/>
      <c r="BM227" s="1708"/>
      <c r="BN227" s="1708"/>
      <c r="BO227" s="1708"/>
      <c r="BP227" s="1708"/>
      <c r="BQ227" s="1708"/>
      <c r="BR227" s="1708"/>
      <c r="BS227" s="1708"/>
      <c r="BT227" s="1708"/>
      <c r="BU227" s="1708"/>
      <c r="BV227" s="1708"/>
      <c r="BW227" s="1708"/>
      <c r="BX227" s="1708"/>
      <c r="BY227" s="1708"/>
      <c r="BZ227" s="1708"/>
      <c r="CA227" s="1708"/>
      <c r="CB227" s="1708"/>
      <c r="CC227" s="1708"/>
      <c r="CD227" s="1708"/>
      <c r="CE227" s="1708"/>
      <c r="CF227" s="1708"/>
      <c r="CG227" s="1708"/>
      <c r="CH227" s="1708"/>
      <c r="CI227" s="1708"/>
      <c r="CJ227" s="1708"/>
      <c r="CK227" s="1708"/>
      <c r="CL227" s="1708"/>
      <c r="CM227" s="1708"/>
      <c r="CN227" s="1708"/>
      <c r="CO227" s="1708"/>
      <c r="CP227" s="1708"/>
      <c r="CQ227" s="1708"/>
      <c r="CR227" s="1708"/>
      <c r="CS227" s="1708"/>
      <c r="CT227" s="1708"/>
      <c r="CU227" s="1708"/>
      <c r="CV227" s="1708"/>
      <c r="CW227" s="1708"/>
      <c r="CX227" s="1708"/>
      <c r="CY227" s="1708"/>
      <c r="CZ227" s="1708"/>
      <c r="DA227" s="1708"/>
      <c r="DB227" s="1708"/>
      <c r="DC227" s="1708"/>
      <c r="DD227" s="1708"/>
      <c r="DE227" s="1708"/>
      <c r="DF227" s="1708"/>
      <c r="DG227" s="1708"/>
      <c r="DH227" s="1708"/>
      <c r="DI227" s="1708"/>
      <c r="DJ227" s="1708"/>
      <c r="DK227" s="1708"/>
      <c r="DL227" s="1708"/>
      <c r="DM227" s="1708"/>
      <c r="DN227" s="1708"/>
      <c r="DO227" s="1708"/>
      <c r="DP227" s="1708"/>
      <c r="DQ227" s="1708"/>
      <c r="DR227" s="1708"/>
      <c r="DS227" s="1708"/>
      <c r="DT227" s="1708"/>
      <c r="DU227" s="1708"/>
      <c r="DV227" s="1708"/>
      <c r="DW227" s="1708"/>
      <c r="DX227" s="1708"/>
      <c r="DY227" s="1708"/>
      <c r="DZ227" s="1708"/>
      <c r="EA227" s="1708"/>
      <c r="EB227" s="1708"/>
      <c r="EC227" s="1708"/>
      <c r="ED227" s="1708"/>
      <c r="EE227" s="1708"/>
      <c r="EF227" s="1708"/>
      <c r="EG227" s="1708"/>
      <c r="EH227" s="1708"/>
      <c r="EI227" s="1708"/>
      <c r="EJ227" s="1708"/>
      <c r="EK227" s="1708"/>
      <c r="EL227" s="1708"/>
      <c r="EM227" s="1708"/>
      <c r="EN227" s="1708"/>
      <c r="EO227" s="1708"/>
      <c r="EP227" s="1708"/>
      <c r="EQ227" s="1708"/>
      <c r="ER227" s="1708"/>
      <c r="ES227" s="1708"/>
      <c r="ET227" s="1708"/>
      <c r="EU227" s="1708"/>
      <c r="EV227" s="1708"/>
      <c r="EW227" s="1708"/>
      <c r="EX227" s="1708"/>
      <c r="EY227" s="1708"/>
      <c r="EZ227" s="1708"/>
      <c r="FA227" s="1708"/>
      <c r="FB227" s="1708"/>
      <c r="FC227" s="1708"/>
      <c r="FD227" s="1708"/>
      <c r="FE227" s="1708"/>
      <c r="FF227" s="1708"/>
      <c r="FG227" s="1708"/>
      <c r="FH227" s="1708"/>
      <c r="FI227" s="1708"/>
      <c r="FJ227" s="1708"/>
      <c r="FK227" s="1708"/>
      <c r="FL227" s="1708"/>
      <c r="FM227" s="1708"/>
      <c r="FN227" s="1708"/>
      <c r="FO227" s="1708"/>
      <c r="FP227" s="1708"/>
      <c r="FQ227" s="1708"/>
      <c r="FR227" s="1708"/>
      <c r="FS227" s="1708"/>
      <c r="FT227" s="1708"/>
      <c r="FU227" s="1708"/>
      <c r="FV227" s="1708"/>
      <c r="FW227" s="1708"/>
      <c r="FX227" s="1708"/>
      <c r="FY227" s="1708"/>
      <c r="FZ227" s="1708"/>
      <c r="GA227" s="1708"/>
      <c r="GB227" s="1708"/>
      <c r="GC227" s="1708"/>
      <c r="GD227" s="1708"/>
      <c r="GE227" s="1708"/>
      <c r="GF227" s="1708"/>
      <c r="GG227" s="1708"/>
      <c r="GH227" s="1708"/>
      <c r="GI227" s="1708"/>
      <c r="GJ227" s="1708"/>
      <c r="GK227" s="1708"/>
      <c r="GL227" s="1708"/>
      <c r="GM227" s="1708"/>
      <c r="GN227" s="1708"/>
      <c r="GO227" s="1708"/>
      <c r="GP227" s="1708"/>
      <c r="GQ227" s="1708"/>
      <c r="GR227" s="1708"/>
      <c r="GS227" s="1708"/>
      <c r="GT227" s="1708"/>
      <c r="GU227" s="1708"/>
      <c r="GV227" s="1708"/>
      <c r="GW227" s="1708"/>
      <c r="GX227" s="1708"/>
      <c r="GY227" s="1708"/>
      <c r="GZ227" s="1708"/>
      <c r="HA227" s="1708"/>
      <c r="HB227" s="1708"/>
      <c r="HC227" s="1708"/>
      <c r="HD227" s="1708"/>
      <c r="HE227" s="1708"/>
      <c r="HF227" s="1708"/>
      <c r="HG227" s="1708"/>
      <c r="HH227" s="1708"/>
      <c r="HI227" s="1708"/>
      <c r="HJ227" s="1708"/>
      <c r="HK227" s="1708"/>
      <c r="HL227" s="1708"/>
      <c r="HM227" s="1708"/>
      <c r="HN227" s="1708"/>
      <c r="HO227" s="1708"/>
      <c r="HP227" s="1708"/>
      <c r="HQ227" s="1708"/>
      <c r="HR227" s="1708"/>
      <c r="HS227" s="1708"/>
      <c r="HT227" s="1708"/>
      <c r="HU227" s="1708"/>
      <c r="HV227" s="1708"/>
      <c r="HW227" s="1708"/>
      <c r="HX227" s="1708"/>
      <c r="HY227" s="1708"/>
      <c r="HZ227" s="1708"/>
      <c r="IA227" s="1708"/>
      <c r="IB227" s="1708"/>
      <c r="IC227" s="1708"/>
      <c r="ID227" s="1708"/>
      <c r="IE227" s="1708"/>
      <c r="IF227" s="1708"/>
      <c r="IG227" s="1708"/>
      <c r="IH227" s="1708"/>
      <c r="II227" s="1708"/>
      <c r="IJ227" s="1708"/>
      <c r="IK227" s="1708"/>
      <c r="IL227" s="1708"/>
      <c r="IM227" s="1708"/>
      <c r="IN227" s="1708"/>
      <c r="IO227" s="1708"/>
      <c r="IP227" s="1708"/>
      <c r="IQ227" s="1708"/>
      <c r="IR227" s="1708"/>
      <c r="IS227" s="1708"/>
      <c r="IT227" s="1708"/>
      <c r="IU227" s="1708"/>
      <c r="IV227" s="1708"/>
    </row>
    <row r="228" spans="2:256" s="57" customFormat="1" x14ac:dyDescent="0.25">
      <c r="B228" s="1836"/>
      <c r="G228" s="1849"/>
      <c r="J228" s="1850"/>
      <c r="K228" s="1850"/>
      <c r="S228" s="1708"/>
      <c r="T228" s="1708"/>
      <c r="U228" s="1708"/>
      <c r="V228" s="1708"/>
      <c r="W228" s="1708"/>
      <c r="X228" s="1708"/>
      <c r="Y228" s="1708"/>
      <c r="Z228" s="1708"/>
      <c r="AA228" s="1708"/>
      <c r="AB228" s="1708"/>
      <c r="AC228" s="1708"/>
      <c r="AD228" s="1708"/>
      <c r="AE228" s="1708"/>
      <c r="AF228" s="1708"/>
      <c r="AG228" s="1708"/>
      <c r="AH228" s="1708"/>
      <c r="AI228" s="1708"/>
      <c r="AJ228" s="1708"/>
      <c r="AK228" s="1708"/>
      <c r="AL228" s="1708"/>
      <c r="AM228" s="1708"/>
      <c r="AN228" s="1708"/>
      <c r="AO228" s="1708"/>
      <c r="AP228" s="1708"/>
      <c r="AQ228" s="1708"/>
      <c r="AR228" s="1708"/>
      <c r="AS228" s="1708"/>
      <c r="AT228" s="1708"/>
      <c r="AU228" s="1708"/>
      <c r="AV228" s="1708"/>
      <c r="AW228" s="1708"/>
      <c r="AX228" s="1708"/>
      <c r="AY228" s="1708"/>
      <c r="AZ228" s="1708"/>
      <c r="BA228" s="1708"/>
      <c r="BB228" s="1708"/>
      <c r="BC228" s="1708"/>
      <c r="BD228" s="1708"/>
      <c r="BE228" s="1708"/>
      <c r="BF228" s="1708"/>
      <c r="BG228" s="1708"/>
      <c r="BH228" s="1708"/>
      <c r="BI228" s="1708"/>
      <c r="BJ228" s="1708"/>
      <c r="BK228" s="1708"/>
      <c r="BL228" s="1708"/>
      <c r="BM228" s="1708"/>
      <c r="BN228" s="1708"/>
      <c r="BO228" s="1708"/>
      <c r="BP228" s="1708"/>
      <c r="BQ228" s="1708"/>
      <c r="BR228" s="1708"/>
      <c r="BS228" s="1708"/>
      <c r="BT228" s="1708"/>
      <c r="BU228" s="1708"/>
      <c r="BV228" s="1708"/>
      <c r="BW228" s="1708"/>
      <c r="BX228" s="1708"/>
      <c r="BY228" s="1708"/>
      <c r="BZ228" s="1708"/>
      <c r="CA228" s="1708"/>
      <c r="CB228" s="1708"/>
      <c r="CC228" s="1708"/>
      <c r="CD228" s="1708"/>
      <c r="CE228" s="1708"/>
      <c r="CF228" s="1708"/>
      <c r="CG228" s="1708"/>
      <c r="CH228" s="1708"/>
      <c r="CI228" s="1708"/>
      <c r="CJ228" s="1708"/>
      <c r="CK228" s="1708"/>
      <c r="CL228" s="1708"/>
      <c r="CM228" s="1708"/>
      <c r="CN228" s="1708"/>
      <c r="CO228" s="1708"/>
      <c r="CP228" s="1708"/>
      <c r="CQ228" s="1708"/>
      <c r="CR228" s="1708"/>
      <c r="CS228" s="1708"/>
      <c r="CT228" s="1708"/>
      <c r="CU228" s="1708"/>
      <c r="CV228" s="1708"/>
      <c r="CW228" s="1708"/>
      <c r="CX228" s="1708"/>
      <c r="CY228" s="1708"/>
      <c r="CZ228" s="1708"/>
      <c r="DA228" s="1708"/>
      <c r="DB228" s="1708"/>
      <c r="DC228" s="1708"/>
      <c r="DD228" s="1708"/>
      <c r="DE228" s="1708"/>
      <c r="DF228" s="1708"/>
      <c r="DG228" s="1708"/>
      <c r="DH228" s="1708"/>
      <c r="DI228" s="1708"/>
      <c r="DJ228" s="1708"/>
      <c r="DK228" s="1708"/>
      <c r="DL228" s="1708"/>
      <c r="DM228" s="1708"/>
      <c r="DN228" s="1708"/>
      <c r="DO228" s="1708"/>
      <c r="DP228" s="1708"/>
      <c r="DQ228" s="1708"/>
      <c r="DR228" s="1708"/>
      <c r="DS228" s="1708"/>
      <c r="DT228" s="1708"/>
      <c r="DU228" s="1708"/>
      <c r="DV228" s="1708"/>
      <c r="DW228" s="1708"/>
      <c r="DX228" s="1708"/>
      <c r="DY228" s="1708"/>
      <c r="DZ228" s="1708"/>
      <c r="EA228" s="1708"/>
      <c r="EB228" s="1708"/>
      <c r="EC228" s="1708"/>
      <c r="ED228" s="1708"/>
      <c r="EE228" s="1708"/>
      <c r="EF228" s="1708"/>
      <c r="EG228" s="1708"/>
      <c r="EH228" s="1708"/>
      <c r="EI228" s="1708"/>
      <c r="EJ228" s="1708"/>
      <c r="EK228" s="1708"/>
      <c r="EL228" s="1708"/>
      <c r="EM228" s="1708"/>
      <c r="EN228" s="1708"/>
      <c r="EO228" s="1708"/>
      <c r="EP228" s="1708"/>
      <c r="EQ228" s="1708"/>
      <c r="ER228" s="1708"/>
      <c r="ES228" s="1708"/>
      <c r="ET228" s="1708"/>
      <c r="EU228" s="1708"/>
      <c r="EV228" s="1708"/>
      <c r="EW228" s="1708"/>
      <c r="EX228" s="1708"/>
      <c r="EY228" s="1708"/>
      <c r="EZ228" s="1708"/>
      <c r="FA228" s="1708"/>
      <c r="FB228" s="1708"/>
      <c r="FC228" s="1708"/>
      <c r="FD228" s="1708"/>
      <c r="FE228" s="1708"/>
      <c r="FF228" s="1708"/>
      <c r="FG228" s="1708"/>
      <c r="FH228" s="1708"/>
      <c r="FI228" s="1708"/>
      <c r="FJ228" s="1708"/>
      <c r="FK228" s="1708"/>
      <c r="FL228" s="1708"/>
      <c r="FM228" s="1708"/>
      <c r="FN228" s="1708"/>
      <c r="FO228" s="1708"/>
      <c r="FP228" s="1708"/>
      <c r="FQ228" s="1708"/>
      <c r="FR228" s="1708"/>
      <c r="FS228" s="1708"/>
      <c r="FT228" s="1708"/>
      <c r="FU228" s="1708"/>
      <c r="FV228" s="1708"/>
      <c r="FW228" s="1708"/>
      <c r="FX228" s="1708"/>
      <c r="FY228" s="1708"/>
      <c r="FZ228" s="1708"/>
      <c r="GA228" s="1708"/>
      <c r="GB228" s="1708"/>
      <c r="GC228" s="1708"/>
      <c r="GD228" s="1708"/>
      <c r="GE228" s="1708"/>
      <c r="GF228" s="1708"/>
      <c r="GG228" s="1708"/>
      <c r="GH228" s="1708"/>
      <c r="GI228" s="1708"/>
      <c r="GJ228" s="1708"/>
      <c r="GK228" s="1708"/>
      <c r="GL228" s="1708"/>
      <c r="GM228" s="1708"/>
      <c r="GN228" s="1708"/>
      <c r="GO228" s="1708"/>
      <c r="GP228" s="1708"/>
      <c r="GQ228" s="1708"/>
      <c r="GR228" s="1708"/>
      <c r="GS228" s="1708"/>
      <c r="GT228" s="1708"/>
      <c r="GU228" s="1708"/>
      <c r="GV228" s="1708"/>
      <c r="GW228" s="1708"/>
      <c r="GX228" s="1708"/>
      <c r="GY228" s="1708"/>
      <c r="GZ228" s="1708"/>
      <c r="HA228" s="1708"/>
      <c r="HB228" s="1708"/>
      <c r="HC228" s="1708"/>
      <c r="HD228" s="1708"/>
      <c r="HE228" s="1708"/>
      <c r="HF228" s="1708"/>
      <c r="HG228" s="1708"/>
      <c r="HH228" s="1708"/>
      <c r="HI228" s="1708"/>
      <c r="HJ228" s="1708"/>
      <c r="HK228" s="1708"/>
      <c r="HL228" s="1708"/>
      <c r="HM228" s="1708"/>
      <c r="HN228" s="1708"/>
      <c r="HO228" s="1708"/>
      <c r="HP228" s="1708"/>
      <c r="HQ228" s="1708"/>
      <c r="HR228" s="1708"/>
      <c r="HS228" s="1708"/>
      <c r="HT228" s="1708"/>
      <c r="HU228" s="1708"/>
      <c r="HV228" s="1708"/>
      <c r="HW228" s="1708"/>
      <c r="HX228" s="1708"/>
      <c r="HY228" s="1708"/>
      <c r="HZ228" s="1708"/>
      <c r="IA228" s="1708"/>
      <c r="IB228" s="1708"/>
      <c r="IC228" s="1708"/>
      <c r="ID228" s="1708"/>
      <c r="IE228" s="1708"/>
      <c r="IF228" s="1708"/>
      <c r="IG228" s="1708"/>
      <c r="IH228" s="1708"/>
      <c r="II228" s="1708"/>
      <c r="IJ228" s="1708"/>
      <c r="IK228" s="1708"/>
      <c r="IL228" s="1708"/>
      <c r="IM228" s="1708"/>
      <c r="IN228" s="1708"/>
      <c r="IO228" s="1708"/>
      <c r="IP228" s="1708"/>
      <c r="IQ228" s="1708"/>
      <c r="IR228" s="1708"/>
      <c r="IS228" s="1708"/>
      <c r="IT228" s="1708"/>
      <c r="IU228" s="1708"/>
      <c r="IV228" s="1708"/>
    </row>
    <row r="229" spans="2:256" s="57" customFormat="1" x14ac:dyDescent="0.25">
      <c r="B229" s="1836"/>
      <c r="G229" s="1849"/>
      <c r="J229" s="1850"/>
      <c r="K229" s="1850"/>
      <c r="S229" s="1708"/>
      <c r="T229" s="1708"/>
      <c r="U229" s="1708"/>
      <c r="V229" s="1708"/>
      <c r="W229" s="1708"/>
      <c r="X229" s="1708"/>
      <c r="Y229" s="1708"/>
      <c r="Z229" s="1708"/>
      <c r="AA229" s="1708"/>
      <c r="AB229" s="1708"/>
      <c r="AC229" s="1708"/>
      <c r="AD229" s="1708"/>
      <c r="AE229" s="1708"/>
      <c r="AF229" s="1708"/>
      <c r="AG229" s="1708"/>
      <c r="AH229" s="1708"/>
      <c r="AI229" s="1708"/>
      <c r="AJ229" s="1708"/>
      <c r="AK229" s="1708"/>
      <c r="AL229" s="1708"/>
      <c r="AM229" s="1708"/>
      <c r="AN229" s="1708"/>
      <c r="AO229" s="1708"/>
      <c r="AP229" s="1708"/>
      <c r="AQ229" s="1708"/>
      <c r="AR229" s="1708"/>
      <c r="AS229" s="1708"/>
      <c r="AT229" s="1708"/>
      <c r="AU229" s="1708"/>
      <c r="AV229" s="1708"/>
      <c r="AW229" s="1708"/>
      <c r="AX229" s="1708"/>
      <c r="AY229" s="1708"/>
      <c r="AZ229" s="1708"/>
      <c r="BA229" s="1708"/>
      <c r="BB229" s="1708"/>
      <c r="BC229" s="1708"/>
      <c r="BD229" s="1708"/>
      <c r="BE229" s="1708"/>
      <c r="BF229" s="1708"/>
      <c r="BG229" s="1708"/>
      <c r="BH229" s="1708"/>
      <c r="BI229" s="1708"/>
      <c r="BJ229" s="1708"/>
      <c r="BK229" s="1708"/>
      <c r="BL229" s="1708"/>
      <c r="BM229" s="1708"/>
      <c r="BN229" s="1708"/>
      <c r="BO229" s="1708"/>
      <c r="BP229" s="1708"/>
      <c r="BQ229" s="1708"/>
      <c r="BR229" s="1708"/>
      <c r="BS229" s="1708"/>
      <c r="BT229" s="1708"/>
      <c r="BU229" s="1708"/>
      <c r="BV229" s="1708"/>
      <c r="BW229" s="1708"/>
      <c r="BX229" s="1708"/>
      <c r="BY229" s="1708"/>
      <c r="BZ229" s="1708"/>
      <c r="CA229" s="1708"/>
      <c r="CB229" s="1708"/>
      <c r="CC229" s="1708"/>
      <c r="CD229" s="1708"/>
      <c r="CE229" s="1708"/>
      <c r="CF229" s="1708"/>
      <c r="CG229" s="1708"/>
      <c r="CH229" s="1708"/>
      <c r="CI229" s="1708"/>
      <c r="CJ229" s="1708"/>
      <c r="CK229" s="1708"/>
      <c r="CL229" s="1708"/>
      <c r="CM229" s="1708"/>
      <c r="CN229" s="1708"/>
      <c r="CO229" s="1708"/>
      <c r="CP229" s="1708"/>
      <c r="CQ229" s="1708"/>
      <c r="CR229" s="1708"/>
      <c r="CS229" s="1708"/>
      <c r="CT229" s="1708"/>
      <c r="CU229" s="1708"/>
      <c r="CV229" s="1708"/>
      <c r="CW229" s="1708"/>
      <c r="CX229" s="1708"/>
      <c r="CY229" s="1708"/>
      <c r="CZ229" s="1708"/>
      <c r="DA229" s="1708"/>
      <c r="DB229" s="1708"/>
      <c r="DC229" s="1708"/>
      <c r="DD229" s="1708"/>
      <c r="DE229" s="1708"/>
      <c r="DF229" s="1708"/>
      <c r="DG229" s="1708"/>
      <c r="DH229" s="1708"/>
      <c r="DI229" s="1708"/>
      <c r="DJ229" s="1708"/>
      <c r="DK229" s="1708"/>
      <c r="DL229" s="1708"/>
      <c r="DM229" s="1708"/>
      <c r="DN229" s="1708"/>
      <c r="DO229" s="1708"/>
      <c r="DP229" s="1708"/>
      <c r="DQ229" s="1708"/>
      <c r="DR229" s="1708"/>
      <c r="DS229" s="1708"/>
      <c r="DT229" s="1708"/>
      <c r="DU229" s="1708"/>
      <c r="DV229" s="1708"/>
      <c r="DW229" s="1708"/>
      <c r="DX229" s="1708"/>
      <c r="DY229" s="1708"/>
      <c r="DZ229" s="1708"/>
      <c r="EA229" s="1708"/>
      <c r="EB229" s="1708"/>
      <c r="EC229" s="1708"/>
      <c r="ED229" s="1708"/>
      <c r="EE229" s="1708"/>
      <c r="EF229" s="1708"/>
      <c r="EG229" s="1708"/>
      <c r="EH229" s="1708"/>
      <c r="EI229" s="1708"/>
      <c r="EJ229" s="1708"/>
      <c r="EK229" s="1708"/>
      <c r="EL229" s="1708"/>
      <c r="EM229" s="1708"/>
      <c r="EN229" s="1708"/>
      <c r="EO229" s="1708"/>
      <c r="EP229" s="1708"/>
      <c r="EQ229" s="1708"/>
      <c r="ER229" s="1708"/>
      <c r="ES229" s="1708"/>
      <c r="ET229" s="1708"/>
      <c r="EU229" s="1708"/>
      <c r="EV229" s="1708"/>
      <c r="EW229" s="1708"/>
      <c r="EX229" s="1708"/>
      <c r="EY229" s="1708"/>
      <c r="EZ229" s="1708"/>
      <c r="FA229" s="1708"/>
      <c r="FB229" s="1708"/>
      <c r="FC229" s="1708"/>
      <c r="FD229" s="1708"/>
      <c r="FE229" s="1708"/>
      <c r="FF229" s="1708"/>
      <c r="FG229" s="1708"/>
      <c r="FH229" s="1708"/>
      <c r="FI229" s="1708"/>
      <c r="FJ229" s="1708"/>
      <c r="FK229" s="1708"/>
      <c r="FL229" s="1708"/>
      <c r="FM229" s="1708"/>
      <c r="FN229" s="1708"/>
      <c r="FO229" s="1708"/>
      <c r="FP229" s="1708"/>
      <c r="FQ229" s="1708"/>
      <c r="FR229" s="1708"/>
      <c r="FS229" s="1708"/>
      <c r="FT229" s="1708"/>
      <c r="FU229" s="1708"/>
      <c r="FV229" s="1708"/>
      <c r="FW229" s="1708"/>
      <c r="FX229" s="1708"/>
      <c r="FY229" s="1708"/>
      <c r="FZ229" s="1708"/>
      <c r="GA229" s="1708"/>
      <c r="GB229" s="1708"/>
      <c r="GC229" s="1708"/>
      <c r="GD229" s="1708"/>
      <c r="GE229" s="1708"/>
      <c r="GF229" s="1708"/>
      <c r="GG229" s="1708"/>
      <c r="GH229" s="1708"/>
      <c r="GI229" s="1708"/>
      <c r="GJ229" s="1708"/>
      <c r="GK229" s="1708"/>
      <c r="GL229" s="1708"/>
      <c r="GM229" s="1708"/>
      <c r="GN229" s="1708"/>
      <c r="GO229" s="1708"/>
      <c r="GP229" s="1708"/>
      <c r="GQ229" s="1708"/>
      <c r="GR229" s="1708"/>
      <c r="GS229" s="1708"/>
      <c r="GT229" s="1708"/>
      <c r="GU229" s="1708"/>
      <c r="GV229" s="1708"/>
      <c r="GW229" s="1708"/>
      <c r="GX229" s="1708"/>
      <c r="GY229" s="1708"/>
      <c r="GZ229" s="1708"/>
      <c r="HA229" s="1708"/>
      <c r="HB229" s="1708"/>
      <c r="HC229" s="1708"/>
      <c r="HD229" s="1708"/>
      <c r="HE229" s="1708"/>
      <c r="HF229" s="1708"/>
      <c r="HG229" s="1708"/>
      <c r="HH229" s="1708"/>
      <c r="HI229" s="1708"/>
      <c r="HJ229" s="1708"/>
      <c r="HK229" s="1708"/>
      <c r="HL229" s="1708"/>
      <c r="HM229" s="1708"/>
      <c r="HN229" s="1708"/>
      <c r="HO229" s="1708"/>
      <c r="HP229" s="1708"/>
      <c r="HQ229" s="1708"/>
      <c r="HR229" s="1708"/>
      <c r="HS229" s="1708"/>
      <c r="HT229" s="1708"/>
      <c r="HU229" s="1708"/>
      <c r="HV229" s="1708"/>
      <c r="HW229" s="1708"/>
      <c r="HX229" s="1708"/>
      <c r="HY229" s="1708"/>
      <c r="HZ229" s="1708"/>
      <c r="IA229" s="1708"/>
      <c r="IB229" s="1708"/>
      <c r="IC229" s="1708"/>
      <c r="ID229" s="1708"/>
      <c r="IE229" s="1708"/>
      <c r="IF229" s="1708"/>
      <c r="IG229" s="1708"/>
      <c r="IH229" s="1708"/>
      <c r="II229" s="1708"/>
      <c r="IJ229" s="1708"/>
      <c r="IK229" s="1708"/>
      <c r="IL229" s="1708"/>
      <c r="IM229" s="1708"/>
      <c r="IN229" s="1708"/>
      <c r="IO229" s="1708"/>
      <c r="IP229" s="1708"/>
      <c r="IQ229" s="1708"/>
      <c r="IR229" s="1708"/>
      <c r="IS229" s="1708"/>
      <c r="IT229" s="1708"/>
      <c r="IU229" s="1708"/>
      <c r="IV229" s="1708"/>
    </row>
    <row r="230" spans="2:256" s="57" customFormat="1" x14ac:dyDescent="0.25">
      <c r="B230" s="1836"/>
      <c r="G230" s="1849"/>
      <c r="J230" s="1850"/>
      <c r="K230" s="1850"/>
      <c r="S230" s="1708"/>
      <c r="T230" s="1708"/>
      <c r="U230" s="1708"/>
      <c r="V230" s="1708"/>
      <c r="W230" s="1708"/>
      <c r="X230" s="1708"/>
      <c r="Y230" s="1708"/>
      <c r="Z230" s="1708"/>
      <c r="AA230" s="1708"/>
      <c r="AB230" s="1708"/>
      <c r="AC230" s="1708"/>
      <c r="AD230" s="1708"/>
      <c r="AE230" s="1708"/>
      <c r="AF230" s="1708"/>
      <c r="AG230" s="1708"/>
      <c r="AH230" s="1708"/>
      <c r="AI230" s="1708"/>
      <c r="AJ230" s="1708"/>
      <c r="AK230" s="1708"/>
      <c r="AL230" s="1708"/>
      <c r="AM230" s="1708"/>
      <c r="AN230" s="1708"/>
      <c r="AO230" s="1708"/>
      <c r="AP230" s="1708"/>
      <c r="AQ230" s="1708"/>
      <c r="AR230" s="1708"/>
      <c r="AS230" s="1708"/>
      <c r="AT230" s="1708"/>
      <c r="AU230" s="1708"/>
      <c r="AV230" s="1708"/>
      <c r="AW230" s="1708"/>
      <c r="AX230" s="1708"/>
      <c r="AY230" s="1708"/>
      <c r="AZ230" s="1708"/>
      <c r="BA230" s="1708"/>
      <c r="BB230" s="1708"/>
      <c r="BC230" s="1708"/>
      <c r="BD230" s="1708"/>
      <c r="BE230" s="1708"/>
      <c r="BF230" s="1708"/>
      <c r="BG230" s="1708"/>
      <c r="BH230" s="1708"/>
      <c r="BI230" s="1708"/>
      <c r="BJ230" s="1708"/>
      <c r="BK230" s="1708"/>
      <c r="BL230" s="1708"/>
      <c r="BM230" s="1708"/>
      <c r="BN230" s="1708"/>
      <c r="BO230" s="1708"/>
      <c r="BP230" s="1708"/>
      <c r="BQ230" s="1708"/>
      <c r="BR230" s="1708"/>
      <c r="BS230" s="1708"/>
      <c r="BT230" s="1708"/>
      <c r="BU230" s="1708"/>
      <c r="BV230" s="1708"/>
      <c r="BW230" s="1708"/>
      <c r="BX230" s="1708"/>
      <c r="BY230" s="1708"/>
      <c r="BZ230" s="1708"/>
      <c r="CA230" s="1708"/>
      <c r="CB230" s="1708"/>
      <c r="CC230" s="1708"/>
      <c r="CD230" s="1708"/>
      <c r="CE230" s="1708"/>
      <c r="CF230" s="1708"/>
      <c r="CG230" s="1708"/>
      <c r="CH230" s="1708"/>
      <c r="CI230" s="1708"/>
      <c r="CJ230" s="1708"/>
      <c r="CK230" s="1708"/>
      <c r="CL230" s="1708"/>
      <c r="CM230" s="1708"/>
      <c r="CN230" s="1708"/>
      <c r="CO230" s="1708"/>
      <c r="CP230" s="1708"/>
      <c r="CQ230" s="1708"/>
      <c r="CR230" s="1708"/>
      <c r="CS230" s="1708"/>
      <c r="CT230" s="1708"/>
      <c r="CU230" s="1708"/>
      <c r="CV230" s="1708"/>
      <c r="CW230" s="1708"/>
      <c r="CX230" s="1708"/>
      <c r="CY230" s="1708"/>
      <c r="CZ230" s="1708"/>
      <c r="DA230" s="1708"/>
      <c r="DB230" s="1708"/>
      <c r="DC230" s="1708"/>
      <c r="DD230" s="1708"/>
      <c r="DE230" s="1708"/>
      <c r="DF230" s="1708"/>
      <c r="DG230" s="1708"/>
      <c r="DH230" s="1708"/>
      <c r="DI230" s="1708"/>
      <c r="DJ230" s="1708"/>
      <c r="DK230" s="1708"/>
      <c r="DL230" s="1708"/>
      <c r="DM230" s="1708"/>
      <c r="DN230" s="1708"/>
      <c r="DO230" s="1708"/>
      <c r="DP230" s="1708"/>
      <c r="DQ230" s="1708"/>
      <c r="DR230" s="1708"/>
      <c r="DS230" s="1708"/>
      <c r="DT230" s="1708"/>
      <c r="DU230" s="1708"/>
      <c r="DV230" s="1708"/>
      <c r="DW230" s="1708"/>
      <c r="DX230" s="1708"/>
      <c r="DY230" s="1708"/>
      <c r="DZ230" s="1708"/>
      <c r="EA230" s="1708"/>
      <c r="EB230" s="1708"/>
      <c r="EC230" s="1708"/>
      <c r="ED230" s="1708"/>
      <c r="EE230" s="1708"/>
      <c r="EF230" s="1708"/>
      <c r="EG230" s="1708"/>
      <c r="EH230" s="1708"/>
      <c r="EI230" s="1708"/>
      <c r="EJ230" s="1708"/>
      <c r="EK230" s="1708"/>
      <c r="EL230" s="1708"/>
      <c r="EM230" s="1708"/>
      <c r="EN230" s="1708"/>
      <c r="EO230" s="1708"/>
      <c r="EP230" s="1708"/>
      <c r="EQ230" s="1708"/>
      <c r="ER230" s="1708"/>
      <c r="ES230" s="1708"/>
      <c r="ET230" s="1708"/>
      <c r="EU230" s="1708"/>
      <c r="EV230" s="1708"/>
      <c r="EW230" s="1708"/>
      <c r="EX230" s="1708"/>
      <c r="EY230" s="1708"/>
      <c r="EZ230" s="1708"/>
      <c r="FA230" s="1708"/>
      <c r="FB230" s="1708"/>
      <c r="FC230" s="1708"/>
      <c r="FD230" s="1708"/>
      <c r="FE230" s="1708"/>
      <c r="FF230" s="1708"/>
      <c r="FG230" s="1708"/>
      <c r="FH230" s="1708"/>
      <c r="FI230" s="1708"/>
      <c r="FJ230" s="1708"/>
      <c r="FK230" s="1708"/>
      <c r="FL230" s="1708"/>
      <c r="FM230" s="1708"/>
      <c r="FN230" s="1708"/>
      <c r="FO230" s="1708"/>
      <c r="FP230" s="1708"/>
      <c r="FQ230" s="1708"/>
      <c r="FR230" s="1708"/>
      <c r="FS230" s="1708"/>
      <c r="FT230" s="1708"/>
      <c r="FU230" s="1708"/>
      <c r="FV230" s="1708"/>
      <c r="FW230" s="1708"/>
      <c r="FX230" s="1708"/>
      <c r="FY230" s="1708"/>
      <c r="FZ230" s="1708"/>
      <c r="GA230" s="1708"/>
      <c r="GB230" s="1708"/>
      <c r="GC230" s="1708"/>
      <c r="GD230" s="1708"/>
      <c r="GE230" s="1708"/>
      <c r="GF230" s="1708"/>
      <c r="GG230" s="1708"/>
      <c r="GH230" s="1708"/>
      <c r="GI230" s="1708"/>
      <c r="GJ230" s="1708"/>
      <c r="GK230" s="1708"/>
      <c r="GL230" s="1708"/>
      <c r="GM230" s="1708"/>
      <c r="GN230" s="1708"/>
      <c r="GO230" s="1708"/>
      <c r="GP230" s="1708"/>
      <c r="GQ230" s="1708"/>
      <c r="GR230" s="1708"/>
      <c r="GS230" s="1708"/>
      <c r="GT230" s="1708"/>
      <c r="GU230" s="1708"/>
      <c r="GV230" s="1708"/>
      <c r="GW230" s="1708"/>
      <c r="GX230" s="1708"/>
      <c r="GY230" s="1708"/>
      <c r="GZ230" s="1708"/>
      <c r="HA230" s="1708"/>
      <c r="HB230" s="1708"/>
      <c r="HC230" s="1708"/>
      <c r="HD230" s="1708"/>
      <c r="HE230" s="1708"/>
      <c r="HF230" s="1708"/>
      <c r="HG230" s="1708"/>
      <c r="HH230" s="1708"/>
      <c r="HI230" s="1708"/>
      <c r="HJ230" s="1708"/>
      <c r="HK230" s="1708"/>
      <c r="HL230" s="1708"/>
      <c r="HM230" s="1708"/>
      <c r="HN230" s="1708"/>
      <c r="HO230" s="1708"/>
      <c r="HP230" s="1708"/>
      <c r="HQ230" s="1708"/>
      <c r="HR230" s="1708"/>
      <c r="HS230" s="1708"/>
      <c r="HT230" s="1708"/>
      <c r="HU230" s="1708"/>
      <c r="HV230" s="1708"/>
      <c r="HW230" s="1708"/>
      <c r="HX230" s="1708"/>
      <c r="HY230" s="1708"/>
      <c r="HZ230" s="1708"/>
      <c r="IA230" s="1708"/>
      <c r="IB230" s="1708"/>
      <c r="IC230" s="1708"/>
      <c r="ID230" s="1708"/>
      <c r="IE230" s="1708"/>
      <c r="IF230" s="1708"/>
      <c r="IG230" s="1708"/>
      <c r="IH230" s="1708"/>
      <c r="II230" s="1708"/>
      <c r="IJ230" s="1708"/>
      <c r="IK230" s="1708"/>
      <c r="IL230" s="1708"/>
      <c r="IM230" s="1708"/>
      <c r="IN230" s="1708"/>
      <c r="IO230" s="1708"/>
      <c r="IP230" s="1708"/>
      <c r="IQ230" s="1708"/>
      <c r="IR230" s="1708"/>
      <c r="IS230" s="1708"/>
      <c r="IT230" s="1708"/>
      <c r="IU230" s="1708"/>
      <c r="IV230" s="1708"/>
    </row>
    <row r="231" spans="2:256" s="57" customFormat="1" x14ac:dyDescent="0.25">
      <c r="B231" s="1836"/>
      <c r="G231" s="1849"/>
      <c r="J231" s="1850"/>
      <c r="K231" s="1850"/>
      <c r="S231" s="1708"/>
      <c r="T231" s="1708"/>
      <c r="U231" s="1708"/>
      <c r="V231" s="1708"/>
      <c r="W231" s="1708"/>
      <c r="X231" s="1708"/>
      <c r="Y231" s="1708"/>
      <c r="Z231" s="1708"/>
      <c r="AA231" s="1708"/>
      <c r="AB231" s="1708"/>
      <c r="AC231" s="1708"/>
      <c r="AD231" s="1708"/>
      <c r="AE231" s="1708"/>
      <c r="AF231" s="1708"/>
      <c r="AG231" s="1708"/>
      <c r="AH231" s="1708"/>
      <c r="AI231" s="1708"/>
      <c r="AJ231" s="1708"/>
      <c r="AK231" s="1708"/>
      <c r="AL231" s="1708"/>
      <c r="AM231" s="1708"/>
      <c r="AN231" s="1708"/>
      <c r="AO231" s="1708"/>
      <c r="AP231" s="1708"/>
      <c r="AQ231" s="1708"/>
      <c r="AR231" s="1708"/>
      <c r="AS231" s="1708"/>
      <c r="AT231" s="1708"/>
      <c r="AU231" s="1708"/>
      <c r="AV231" s="1708"/>
      <c r="AW231" s="1708"/>
      <c r="AX231" s="1708"/>
      <c r="AY231" s="1708"/>
      <c r="AZ231" s="1708"/>
      <c r="BA231" s="1708"/>
      <c r="BB231" s="1708"/>
      <c r="BC231" s="1708"/>
      <c r="BD231" s="1708"/>
      <c r="BE231" s="1708"/>
      <c r="BF231" s="1708"/>
      <c r="BG231" s="1708"/>
      <c r="BH231" s="1708"/>
      <c r="BI231" s="1708"/>
      <c r="BJ231" s="1708"/>
      <c r="BK231" s="1708"/>
      <c r="BL231" s="1708"/>
      <c r="BM231" s="1708"/>
      <c r="BN231" s="1708"/>
      <c r="BO231" s="1708"/>
      <c r="BP231" s="1708"/>
      <c r="BQ231" s="1708"/>
      <c r="BR231" s="1708"/>
      <c r="BS231" s="1708"/>
      <c r="BT231" s="1708"/>
      <c r="BU231" s="1708"/>
      <c r="BV231" s="1708"/>
      <c r="BW231" s="1708"/>
      <c r="BX231" s="1708"/>
      <c r="BY231" s="1708"/>
      <c r="BZ231" s="1708"/>
      <c r="CA231" s="1708"/>
      <c r="CB231" s="1708"/>
      <c r="CC231" s="1708"/>
      <c r="CD231" s="1708"/>
      <c r="CE231" s="1708"/>
      <c r="CF231" s="1708"/>
      <c r="CG231" s="1708"/>
      <c r="CH231" s="1708"/>
      <c r="CI231" s="1708"/>
      <c r="CJ231" s="1708"/>
      <c r="CK231" s="1708"/>
      <c r="CL231" s="1708"/>
      <c r="CM231" s="1708"/>
      <c r="CN231" s="1708"/>
      <c r="CO231" s="1708"/>
      <c r="CP231" s="1708"/>
      <c r="CQ231" s="1708"/>
      <c r="CR231" s="1708"/>
      <c r="CS231" s="1708"/>
      <c r="CT231" s="1708"/>
      <c r="CU231" s="1708"/>
      <c r="CV231" s="1708"/>
      <c r="CW231" s="1708"/>
      <c r="CX231" s="1708"/>
      <c r="CY231" s="1708"/>
      <c r="CZ231" s="1708"/>
      <c r="DA231" s="1708"/>
      <c r="DB231" s="1708"/>
      <c r="DC231" s="1708"/>
      <c r="DD231" s="1708"/>
      <c r="DE231" s="1708"/>
      <c r="DF231" s="1708"/>
      <c r="DG231" s="1708"/>
      <c r="DH231" s="1708"/>
      <c r="DI231" s="1708"/>
      <c r="DJ231" s="1708"/>
      <c r="DK231" s="1708"/>
      <c r="DL231" s="1708"/>
      <c r="DM231" s="1708"/>
      <c r="DN231" s="1708"/>
      <c r="DO231" s="1708"/>
      <c r="DP231" s="1708"/>
      <c r="DQ231" s="1708"/>
      <c r="DR231" s="1708"/>
      <c r="DS231" s="1708"/>
      <c r="DT231" s="1708"/>
      <c r="DU231" s="1708"/>
      <c r="DV231" s="1708"/>
      <c r="DW231" s="1708"/>
      <c r="DX231" s="1708"/>
      <c r="DY231" s="1708"/>
      <c r="DZ231" s="1708"/>
      <c r="EA231" s="1708"/>
      <c r="EB231" s="1708"/>
      <c r="EC231" s="1708"/>
      <c r="ED231" s="1708"/>
      <c r="EE231" s="1708"/>
      <c r="EF231" s="1708"/>
      <c r="EG231" s="1708"/>
      <c r="EH231" s="1708"/>
      <c r="EI231" s="1708"/>
      <c r="EJ231" s="1708"/>
      <c r="EK231" s="1708"/>
      <c r="EL231" s="1708"/>
      <c r="EM231" s="1708"/>
      <c r="EN231" s="1708"/>
      <c r="EO231" s="1708"/>
      <c r="EP231" s="1708"/>
      <c r="EQ231" s="1708"/>
      <c r="ER231" s="1708"/>
      <c r="ES231" s="1708"/>
      <c r="ET231" s="1708"/>
      <c r="EU231" s="1708"/>
      <c r="EV231" s="1708"/>
      <c r="EW231" s="1708"/>
      <c r="EX231" s="1708"/>
      <c r="EY231" s="1708"/>
      <c r="EZ231" s="1708"/>
      <c r="FA231" s="1708"/>
      <c r="FB231" s="1708"/>
      <c r="FC231" s="1708"/>
      <c r="FD231" s="1708"/>
      <c r="FE231" s="1708"/>
      <c r="FF231" s="1708"/>
      <c r="FG231" s="1708"/>
      <c r="FH231" s="1708"/>
      <c r="FI231" s="1708"/>
      <c r="FJ231" s="1708"/>
      <c r="FK231" s="1708"/>
      <c r="FL231" s="1708"/>
      <c r="FM231" s="1708"/>
      <c r="FN231" s="1708"/>
      <c r="FO231" s="1708"/>
      <c r="FP231" s="1708"/>
      <c r="FQ231" s="1708"/>
      <c r="FR231" s="1708"/>
      <c r="FS231" s="1708"/>
      <c r="FT231" s="1708"/>
      <c r="FU231" s="1708"/>
      <c r="FV231" s="1708"/>
      <c r="FW231" s="1708"/>
      <c r="FX231" s="1708"/>
      <c r="FY231" s="1708"/>
      <c r="FZ231" s="1708"/>
      <c r="GA231" s="1708"/>
      <c r="GB231" s="1708"/>
      <c r="GC231" s="1708"/>
      <c r="GD231" s="1708"/>
      <c r="GE231" s="1708"/>
      <c r="GF231" s="1708"/>
      <c r="GG231" s="1708"/>
      <c r="GH231" s="1708"/>
      <c r="GI231" s="1708"/>
      <c r="GJ231" s="1708"/>
      <c r="GK231" s="1708"/>
      <c r="GL231" s="1708"/>
      <c r="GM231" s="1708"/>
      <c r="GN231" s="1708"/>
      <c r="GO231" s="1708"/>
      <c r="GP231" s="1708"/>
      <c r="GQ231" s="1708"/>
      <c r="GR231" s="1708"/>
      <c r="GS231" s="1708"/>
      <c r="GT231" s="1708"/>
      <c r="GU231" s="1708"/>
      <c r="GV231" s="1708"/>
      <c r="GW231" s="1708"/>
      <c r="GX231" s="1708"/>
      <c r="GY231" s="1708"/>
      <c r="GZ231" s="1708"/>
      <c r="HA231" s="1708"/>
      <c r="HB231" s="1708"/>
      <c r="HC231" s="1708"/>
      <c r="HD231" s="1708"/>
      <c r="HE231" s="1708"/>
      <c r="HF231" s="1708"/>
      <c r="HG231" s="1708"/>
      <c r="HH231" s="1708"/>
      <c r="HI231" s="1708"/>
      <c r="HJ231" s="1708"/>
      <c r="HK231" s="1708"/>
      <c r="HL231" s="1708"/>
      <c r="HM231" s="1708"/>
      <c r="HN231" s="1708"/>
      <c r="HO231" s="1708"/>
      <c r="HP231" s="1708"/>
      <c r="HQ231" s="1708"/>
      <c r="HR231" s="1708"/>
      <c r="HS231" s="1708"/>
      <c r="HT231" s="1708"/>
      <c r="HU231" s="1708"/>
      <c r="HV231" s="1708"/>
      <c r="HW231" s="1708"/>
      <c r="HX231" s="1708"/>
      <c r="HY231" s="1708"/>
      <c r="HZ231" s="1708"/>
      <c r="IA231" s="1708"/>
      <c r="IB231" s="1708"/>
      <c r="IC231" s="1708"/>
      <c r="ID231" s="1708"/>
      <c r="IE231" s="1708"/>
      <c r="IF231" s="1708"/>
      <c r="IG231" s="1708"/>
      <c r="IH231" s="1708"/>
      <c r="II231" s="1708"/>
      <c r="IJ231" s="1708"/>
      <c r="IK231" s="1708"/>
      <c r="IL231" s="1708"/>
      <c r="IM231" s="1708"/>
      <c r="IN231" s="1708"/>
      <c r="IO231" s="1708"/>
      <c r="IP231" s="1708"/>
      <c r="IQ231" s="1708"/>
      <c r="IR231" s="1708"/>
      <c r="IS231" s="1708"/>
      <c r="IT231" s="1708"/>
      <c r="IU231" s="1708"/>
      <c r="IV231" s="1708"/>
    </row>
    <row r="232" spans="2:256" s="57" customFormat="1" x14ac:dyDescent="0.25">
      <c r="B232" s="1836"/>
      <c r="G232" s="1849"/>
      <c r="J232" s="1850"/>
      <c r="K232" s="1850"/>
      <c r="S232" s="1708"/>
      <c r="T232" s="1708"/>
      <c r="U232" s="1708"/>
      <c r="V232" s="1708"/>
      <c r="W232" s="1708"/>
      <c r="X232" s="1708"/>
      <c r="Y232" s="1708"/>
      <c r="Z232" s="1708"/>
      <c r="AA232" s="1708"/>
      <c r="AB232" s="1708"/>
      <c r="AC232" s="1708"/>
      <c r="AD232" s="1708"/>
      <c r="AE232" s="1708"/>
      <c r="AF232" s="1708"/>
      <c r="AG232" s="1708"/>
      <c r="AH232" s="1708"/>
      <c r="AI232" s="1708"/>
      <c r="AJ232" s="1708"/>
      <c r="AK232" s="1708"/>
      <c r="AL232" s="1708"/>
      <c r="AM232" s="1708"/>
      <c r="AN232" s="1708"/>
      <c r="AO232" s="1708"/>
      <c r="AP232" s="1708"/>
      <c r="AQ232" s="1708"/>
      <c r="AR232" s="1708"/>
      <c r="AS232" s="1708"/>
      <c r="AT232" s="1708"/>
      <c r="AU232" s="1708"/>
      <c r="AV232" s="1708"/>
      <c r="AW232" s="1708"/>
      <c r="AX232" s="1708"/>
      <c r="AY232" s="1708"/>
      <c r="AZ232" s="1708"/>
      <c r="BA232" s="1708"/>
      <c r="BB232" s="1708"/>
      <c r="BC232" s="1708"/>
      <c r="BD232" s="1708"/>
      <c r="BE232" s="1708"/>
      <c r="BF232" s="1708"/>
      <c r="BG232" s="1708"/>
      <c r="BH232" s="1708"/>
      <c r="BI232" s="1708"/>
      <c r="BJ232" s="1708"/>
      <c r="BK232" s="1708"/>
      <c r="BL232" s="1708"/>
      <c r="BM232" s="1708"/>
      <c r="BN232" s="1708"/>
      <c r="BO232" s="1708"/>
      <c r="BP232" s="1708"/>
      <c r="BQ232" s="1708"/>
      <c r="BR232" s="1708"/>
      <c r="BS232" s="1708"/>
      <c r="BT232" s="1708"/>
      <c r="BU232" s="1708"/>
      <c r="BV232" s="1708"/>
      <c r="BW232" s="1708"/>
      <c r="BX232" s="1708"/>
      <c r="BY232" s="1708"/>
      <c r="BZ232" s="1708"/>
      <c r="CA232" s="1708"/>
      <c r="CB232" s="1708"/>
      <c r="CC232" s="1708"/>
      <c r="CD232" s="1708"/>
      <c r="CE232" s="1708"/>
      <c r="CF232" s="1708"/>
      <c r="CG232" s="1708"/>
      <c r="CH232" s="1708"/>
      <c r="CI232" s="1708"/>
      <c r="CJ232" s="1708"/>
      <c r="CK232" s="1708"/>
      <c r="CL232" s="1708"/>
      <c r="CM232" s="1708"/>
      <c r="CN232" s="1708"/>
      <c r="CO232" s="1708"/>
      <c r="CP232" s="1708"/>
      <c r="CQ232" s="1708"/>
      <c r="CR232" s="1708"/>
      <c r="CS232" s="1708"/>
      <c r="CT232" s="1708"/>
      <c r="CU232" s="1708"/>
      <c r="CV232" s="1708"/>
      <c r="CW232" s="1708"/>
      <c r="CX232" s="1708"/>
      <c r="CY232" s="1708"/>
      <c r="CZ232" s="1708"/>
      <c r="DA232" s="1708"/>
      <c r="DB232" s="1708"/>
      <c r="DC232" s="1708"/>
      <c r="DD232" s="1708"/>
      <c r="DE232" s="1708"/>
      <c r="DF232" s="1708"/>
      <c r="DG232" s="1708"/>
      <c r="DH232" s="1708"/>
      <c r="DI232" s="1708"/>
      <c r="DJ232" s="1708"/>
      <c r="DK232" s="1708"/>
      <c r="DL232" s="1708"/>
      <c r="DM232" s="1708"/>
      <c r="DN232" s="1708"/>
      <c r="DO232" s="1708"/>
      <c r="DP232" s="1708"/>
      <c r="DQ232" s="1708"/>
      <c r="DR232" s="1708"/>
      <c r="DS232" s="1708"/>
      <c r="DT232" s="1708"/>
      <c r="DU232" s="1708"/>
      <c r="DV232" s="1708"/>
      <c r="DW232" s="1708"/>
      <c r="DX232" s="1708"/>
      <c r="DY232" s="1708"/>
      <c r="DZ232" s="1708"/>
      <c r="EA232" s="1708"/>
      <c r="EB232" s="1708"/>
      <c r="EC232" s="1708"/>
      <c r="ED232" s="1708"/>
      <c r="EE232" s="1708"/>
      <c r="EF232" s="1708"/>
      <c r="EG232" s="1708"/>
      <c r="EH232" s="1708"/>
      <c r="EI232" s="1708"/>
      <c r="EJ232" s="1708"/>
      <c r="EK232" s="1708"/>
      <c r="EL232" s="1708"/>
      <c r="EM232" s="1708"/>
      <c r="EN232" s="1708"/>
      <c r="EO232" s="1708"/>
      <c r="EP232" s="1708"/>
      <c r="EQ232" s="1708"/>
      <c r="ER232" s="1708"/>
      <c r="ES232" s="1708"/>
      <c r="ET232" s="1708"/>
      <c r="EU232" s="1708"/>
      <c r="EV232" s="1708"/>
      <c r="EW232" s="1708"/>
      <c r="EX232" s="1708"/>
      <c r="EY232" s="1708"/>
      <c r="EZ232" s="1708"/>
      <c r="FA232" s="1708"/>
      <c r="FB232" s="1708"/>
      <c r="FC232" s="1708"/>
      <c r="FD232" s="1708"/>
      <c r="FE232" s="1708"/>
      <c r="FF232" s="1708"/>
      <c r="FG232" s="1708"/>
      <c r="FH232" s="1708"/>
      <c r="FI232" s="1708"/>
      <c r="FJ232" s="1708"/>
      <c r="FK232" s="1708"/>
      <c r="FL232" s="1708"/>
      <c r="FM232" s="1708"/>
      <c r="FN232" s="1708"/>
      <c r="FO232" s="1708"/>
      <c r="FP232" s="1708"/>
      <c r="FQ232" s="1708"/>
      <c r="FR232" s="1708"/>
      <c r="FS232" s="1708"/>
      <c r="FT232" s="1708"/>
      <c r="FU232" s="1708"/>
      <c r="FV232" s="1708"/>
      <c r="FW232" s="1708"/>
      <c r="FX232" s="1708"/>
      <c r="FY232" s="1708"/>
      <c r="FZ232" s="1708"/>
      <c r="GA232" s="1708"/>
      <c r="GB232" s="1708"/>
      <c r="GC232" s="1708"/>
      <c r="GD232" s="1708"/>
      <c r="GE232" s="1708"/>
      <c r="GF232" s="1708"/>
      <c r="GG232" s="1708"/>
      <c r="GH232" s="1708"/>
      <c r="GI232" s="1708"/>
      <c r="GJ232" s="1708"/>
      <c r="GK232" s="1708"/>
      <c r="GL232" s="1708"/>
      <c r="GM232" s="1708"/>
      <c r="GN232" s="1708"/>
      <c r="GO232" s="1708"/>
      <c r="GP232" s="1708"/>
      <c r="GQ232" s="1708"/>
      <c r="GR232" s="1708"/>
      <c r="GS232" s="1708"/>
      <c r="GT232" s="1708"/>
      <c r="GU232" s="1708"/>
      <c r="GV232" s="1708"/>
      <c r="GW232" s="1708"/>
      <c r="GX232" s="1708"/>
      <c r="GY232" s="1708"/>
      <c r="GZ232" s="1708"/>
      <c r="HA232" s="1708"/>
      <c r="HB232" s="1708"/>
      <c r="HC232" s="1708"/>
      <c r="HD232" s="1708"/>
      <c r="HE232" s="1708"/>
      <c r="HF232" s="1708"/>
      <c r="HG232" s="1708"/>
      <c r="HH232" s="1708"/>
      <c r="HI232" s="1708"/>
      <c r="HJ232" s="1708"/>
      <c r="HK232" s="1708"/>
      <c r="HL232" s="1708"/>
      <c r="HM232" s="1708"/>
      <c r="HN232" s="1708"/>
      <c r="HO232" s="1708"/>
      <c r="HP232" s="1708"/>
      <c r="HQ232" s="1708"/>
      <c r="HR232" s="1708"/>
      <c r="HS232" s="1708"/>
      <c r="HT232" s="1708"/>
      <c r="HU232" s="1708"/>
      <c r="HV232" s="1708"/>
      <c r="HW232" s="1708"/>
      <c r="HX232" s="1708"/>
      <c r="HY232" s="1708"/>
      <c r="HZ232" s="1708"/>
      <c r="IA232" s="1708"/>
      <c r="IB232" s="1708"/>
      <c r="IC232" s="1708"/>
      <c r="ID232" s="1708"/>
      <c r="IE232" s="1708"/>
      <c r="IF232" s="1708"/>
      <c r="IG232" s="1708"/>
      <c r="IH232" s="1708"/>
      <c r="II232" s="1708"/>
      <c r="IJ232" s="1708"/>
      <c r="IK232" s="1708"/>
      <c r="IL232" s="1708"/>
      <c r="IM232" s="1708"/>
      <c r="IN232" s="1708"/>
      <c r="IO232" s="1708"/>
      <c r="IP232" s="1708"/>
      <c r="IQ232" s="1708"/>
      <c r="IR232" s="1708"/>
      <c r="IS232" s="1708"/>
      <c r="IT232" s="1708"/>
      <c r="IU232" s="1708"/>
      <c r="IV232" s="1708"/>
    </row>
    <row r="233" spans="2:256" s="57" customFormat="1" x14ac:dyDescent="0.25">
      <c r="B233" s="1836"/>
      <c r="G233" s="1849"/>
      <c r="J233" s="1850"/>
      <c r="K233" s="1850"/>
      <c r="S233" s="1708"/>
      <c r="T233" s="1708"/>
      <c r="U233" s="1708"/>
      <c r="V233" s="1708"/>
      <c r="W233" s="1708"/>
      <c r="X233" s="1708"/>
      <c r="Y233" s="1708"/>
      <c r="Z233" s="1708"/>
      <c r="AA233" s="1708"/>
      <c r="AB233" s="1708"/>
      <c r="AC233" s="1708"/>
      <c r="AD233" s="1708"/>
      <c r="AE233" s="1708"/>
      <c r="AF233" s="1708"/>
      <c r="AG233" s="1708"/>
      <c r="AH233" s="1708"/>
      <c r="AI233" s="1708"/>
      <c r="AJ233" s="1708"/>
      <c r="AK233" s="1708"/>
      <c r="AL233" s="1708"/>
      <c r="AM233" s="1708"/>
      <c r="AN233" s="1708"/>
      <c r="AO233" s="1708"/>
      <c r="AP233" s="1708"/>
      <c r="AQ233" s="1708"/>
      <c r="AR233" s="1708"/>
      <c r="AS233" s="1708"/>
      <c r="AT233" s="1708"/>
      <c r="AU233" s="1708"/>
      <c r="AV233" s="1708"/>
      <c r="AW233" s="1708"/>
      <c r="AX233" s="1708"/>
      <c r="AY233" s="1708"/>
      <c r="AZ233" s="1708"/>
      <c r="BA233" s="1708"/>
      <c r="BB233" s="1708"/>
      <c r="BC233" s="1708"/>
      <c r="BD233" s="1708"/>
      <c r="BE233" s="1708"/>
      <c r="BF233" s="1708"/>
      <c r="BG233" s="1708"/>
      <c r="BH233" s="1708"/>
      <c r="BI233" s="1708"/>
      <c r="BJ233" s="1708"/>
      <c r="BK233" s="1708"/>
      <c r="BL233" s="1708"/>
      <c r="BM233" s="1708"/>
      <c r="BN233" s="1708"/>
      <c r="BO233" s="1708"/>
      <c r="BP233" s="1708"/>
      <c r="BQ233" s="1708"/>
      <c r="BR233" s="1708"/>
      <c r="BS233" s="1708"/>
      <c r="BT233" s="1708"/>
      <c r="BU233" s="1708"/>
      <c r="BV233" s="1708"/>
      <c r="BW233" s="1708"/>
      <c r="BX233" s="1708"/>
      <c r="BY233" s="1708"/>
      <c r="BZ233" s="1708"/>
      <c r="CA233" s="1708"/>
      <c r="CB233" s="1708"/>
      <c r="CC233" s="1708"/>
      <c r="CD233" s="1708"/>
      <c r="CE233" s="1708"/>
      <c r="CF233" s="1708"/>
      <c r="CG233" s="1708"/>
      <c r="CH233" s="1708"/>
      <c r="CI233" s="1708"/>
      <c r="CJ233" s="1708"/>
      <c r="CK233" s="1708"/>
      <c r="CL233" s="1708"/>
      <c r="CM233" s="1708"/>
      <c r="CN233" s="1708"/>
      <c r="CO233" s="1708"/>
      <c r="CP233" s="1708"/>
      <c r="CQ233" s="1708"/>
      <c r="CR233" s="1708"/>
      <c r="CS233" s="1708"/>
      <c r="CT233" s="1708"/>
      <c r="CU233" s="1708"/>
      <c r="CV233" s="1708"/>
      <c r="CW233" s="1708"/>
      <c r="CX233" s="1708"/>
      <c r="CY233" s="1708"/>
      <c r="CZ233" s="1708"/>
      <c r="DA233" s="1708"/>
      <c r="DB233" s="1708"/>
      <c r="DC233" s="1708"/>
      <c r="DD233" s="1708"/>
      <c r="DE233" s="1708"/>
      <c r="DF233" s="1708"/>
      <c r="DG233" s="1708"/>
      <c r="DH233" s="1708"/>
      <c r="DI233" s="1708"/>
      <c r="DJ233" s="1708"/>
      <c r="DK233" s="1708"/>
      <c r="DL233" s="1708"/>
      <c r="DM233" s="1708"/>
      <c r="DN233" s="1708"/>
      <c r="DO233" s="1708"/>
      <c r="DP233" s="1708"/>
      <c r="DQ233" s="1708"/>
      <c r="DR233" s="1708"/>
      <c r="DS233" s="1708"/>
      <c r="DT233" s="1708"/>
      <c r="DU233" s="1708"/>
      <c r="DV233" s="1708"/>
      <c r="DW233" s="1708"/>
      <c r="DX233" s="1708"/>
      <c r="DY233" s="1708"/>
      <c r="DZ233" s="1708"/>
      <c r="EA233" s="1708"/>
      <c r="EB233" s="1708"/>
      <c r="EC233" s="1708"/>
      <c r="ED233" s="1708"/>
      <c r="EE233" s="1708"/>
      <c r="EF233" s="1708"/>
      <c r="EG233" s="1708"/>
      <c r="EH233" s="1708"/>
      <c r="EI233" s="1708"/>
      <c r="EJ233" s="1708"/>
      <c r="EK233" s="1708"/>
      <c r="EL233" s="1708"/>
      <c r="EM233" s="1708"/>
      <c r="EN233" s="1708"/>
      <c r="EO233" s="1708"/>
      <c r="EP233" s="1708"/>
      <c r="EQ233" s="1708"/>
      <c r="ER233" s="1708"/>
      <c r="ES233" s="1708"/>
      <c r="ET233" s="1708"/>
      <c r="EU233" s="1708"/>
      <c r="EV233" s="1708"/>
      <c r="EW233" s="1708"/>
      <c r="EX233" s="1708"/>
      <c r="EY233" s="1708"/>
      <c r="EZ233" s="1708"/>
      <c r="FA233" s="1708"/>
      <c r="FB233" s="1708"/>
      <c r="FC233" s="1708"/>
      <c r="FD233" s="1708"/>
      <c r="FE233" s="1708"/>
      <c r="FF233" s="1708"/>
      <c r="FG233" s="1708"/>
      <c r="FH233" s="1708"/>
      <c r="FI233" s="1708"/>
      <c r="FJ233" s="1708"/>
      <c r="FK233" s="1708"/>
      <c r="FL233" s="1708"/>
      <c r="FM233" s="1708"/>
      <c r="FN233" s="1708"/>
      <c r="FO233" s="1708"/>
      <c r="FP233" s="1708"/>
      <c r="FQ233" s="1708"/>
      <c r="FR233" s="1708"/>
      <c r="FS233" s="1708"/>
      <c r="FT233" s="1708"/>
      <c r="FU233" s="1708"/>
      <c r="FV233" s="1708"/>
      <c r="FW233" s="1708"/>
      <c r="FX233" s="1708"/>
      <c r="FY233" s="1708"/>
      <c r="FZ233" s="1708"/>
      <c r="GA233" s="1708"/>
      <c r="GB233" s="1708"/>
      <c r="GC233" s="1708"/>
      <c r="GD233" s="1708"/>
      <c r="GE233" s="1708"/>
      <c r="GF233" s="1708"/>
      <c r="GG233" s="1708"/>
      <c r="GH233" s="1708"/>
      <c r="GI233" s="1708"/>
      <c r="GJ233" s="1708"/>
      <c r="GK233" s="1708"/>
      <c r="GL233" s="1708"/>
      <c r="GM233" s="1708"/>
      <c r="GN233" s="1708"/>
      <c r="GO233" s="1708"/>
      <c r="GP233" s="1708"/>
      <c r="GQ233" s="1708"/>
      <c r="GR233" s="1708"/>
      <c r="GS233" s="1708"/>
      <c r="GT233" s="1708"/>
      <c r="GU233" s="1708"/>
      <c r="GV233" s="1708"/>
      <c r="GW233" s="1708"/>
      <c r="GX233" s="1708"/>
      <c r="GY233" s="1708"/>
      <c r="GZ233" s="1708"/>
      <c r="HA233" s="1708"/>
      <c r="HB233" s="1708"/>
      <c r="HC233" s="1708"/>
      <c r="HD233" s="1708"/>
      <c r="HE233" s="1708"/>
      <c r="HF233" s="1708"/>
      <c r="HG233" s="1708"/>
      <c r="HH233" s="1708"/>
      <c r="HI233" s="1708"/>
      <c r="HJ233" s="1708"/>
      <c r="HK233" s="1708"/>
      <c r="HL233" s="1708"/>
      <c r="HM233" s="1708"/>
      <c r="HN233" s="1708"/>
      <c r="HO233" s="1708"/>
      <c r="HP233" s="1708"/>
      <c r="HQ233" s="1708"/>
      <c r="HR233" s="1708"/>
      <c r="HS233" s="1708"/>
      <c r="HT233" s="1708"/>
      <c r="HU233" s="1708"/>
      <c r="HV233" s="1708"/>
      <c r="HW233" s="1708"/>
      <c r="HX233" s="1708"/>
      <c r="HY233" s="1708"/>
      <c r="HZ233" s="1708"/>
      <c r="IA233" s="1708"/>
      <c r="IB233" s="1708"/>
      <c r="IC233" s="1708"/>
      <c r="ID233" s="1708"/>
      <c r="IE233" s="1708"/>
      <c r="IF233" s="1708"/>
      <c r="IG233" s="1708"/>
      <c r="IH233" s="1708"/>
      <c r="II233" s="1708"/>
      <c r="IJ233" s="1708"/>
      <c r="IK233" s="1708"/>
      <c r="IL233" s="1708"/>
      <c r="IM233" s="1708"/>
      <c r="IN233" s="1708"/>
      <c r="IO233" s="1708"/>
      <c r="IP233" s="1708"/>
      <c r="IQ233" s="1708"/>
      <c r="IR233" s="1708"/>
      <c r="IS233" s="1708"/>
      <c r="IT233" s="1708"/>
      <c r="IU233" s="1708"/>
      <c r="IV233" s="1708"/>
    </row>
    <row r="234" spans="2:256" s="57" customFormat="1" x14ac:dyDescent="0.25">
      <c r="B234" s="1836"/>
      <c r="G234" s="1849"/>
      <c r="J234" s="1850"/>
      <c r="K234" s="1850"/>
      <c r="S234" s="1708"/>
      <c r="T234" s="1708"/>
      <c r="U234" s="1708"/>
      <c r="V234" s="1708"/>
      <c r="W234" s="1708"/>
      <c r="X234" s="1708"/>
      <c r="Y234" s="1708"/>
      <c r="Z234" s="1708"/>
      <c r="AA234" s="1708"/>
      <c r="AB234" s="1708"/>
      <c r="AC234" s="1708"/>
      <c r="AD234" s="1708"/>
      <c r="AE234" s="1708"/>
      <c r="AF234" s="1708"/>
      <c r="AG234" s="1708"/>
      <c r="AH234" s="1708"/>
      <c r="AI234" s="1708"/>
      <c r="AJ234" s="1708"/>
      <c r="AK234" s="1708"/>
      <c r="AL234" s="1708"/>
      <c r="AM234" s="1708"/>
      <c r="AN234" s="1708"/>
      <c r="AO234" s="1708"/>
      <c r="AP234" s="1708"/>
      <c r="AQ234" s="1708"/>
      <c r="AR234" s="1708"/>
      <c r="AS234" s="1708"/>
      <c r="AT234" s="1708"/>
      <c r="AU234" s="1708"/>
      <c r="AV234" s="1708"/>
      <c r="AW234" s="1708"/>
      <c r="AX234" s="1708"/>
      <c r="AY234" s="1708"/>
      <c r="AZ234" s="1708"/>
      <c r="BA234" s="1708"/>
      <c r="BB234" s="1708"/>
      <c r="BC234" s="1708"/>
      <c r="BD234" s="1708"/>
      <c r="BE234" s="1708"/>
      <c r="BF234" s="1708"/>
      <c r="BG234" s="1708"/>
      <c r="BH234" s="1708"/>
      <c r="BI234" s="1708"/>
      <c r="BJ234" s="1708"/>
      <c r="BK234" s="1708"/>
      <c r="BL234" s="1708"/>
      <c r="BM234" s="1708"/>
      <c r="BN234" s="1708"/>
      <c r="BO234" s="1708"/>
      <c r="BP234" s="1708"/>
      <c r="BQ234" s="1708"/>
      <c r="BR234" s="1708"/>
      <c r="BS234" s="1708"/>
      <c r="BT234" s="1708"/>
      <c r="BU234" s="1708"/>
      <c r="BV234" s="1708"/>
      <c r="BW234" s="1708"/>
      <c r="BX234" s="1708"/>
      <c r="BY234" s="1708"/>
      <c r="BZ234" s="1708"/>
      <c r="CA234" s="1708"/>
      <c r="CB234" s="1708"/>
      <c r="CC234" s="1708"/>
      <c r="CD234" s="1708"/>
      <c r="CE234" s="1708"/>
      <c r="CF234" s="1708"/>
      <c r="CG234" s="1708"/>
      <c r="CH234" s="1708"/>
      <c r="CI234" s="1708"/>
      <c r="CJ234" s="1708"/>
      <c r="CK234" s="1708"/>
      <c r="CL234" s="1708"/>
      <c r="CM234" s="1708"/>
      <c r="CN234" s="1708"/>
      <c r="CO234" s="1708"/>
      <c r="CP234" s="1708"/>
      <c r="CQ234" s="1708"/>
      <c r="CR234" s="1708"/>
      <c r="CS234" s="1708"/>
      <c r="CT234" s="1708"/>
      <c r="CU234" s="1708"/>
      <c r="CV234" s="1708"/>
      <c r="CW234" s="1708"/>
      <c r="CX234" s="1708"/>
      <c r="CY234" s="1708"/>
      <c r="CZ234" s="1708"/>
      <c r="DA234" s="1708"/>
      <c r="DB234" s="1708"/>
      <c r="DC234" s="1708"/>
      <c r="DD234" s="1708"/>
      <c r="DE234" s="1708"/>
      <c r="DF234" s="1708"/>
      <c r="DG234" s="1708"/>
      <c r="DH234" s="1708"/>
      <c r="DI234" s="1708"/>
      <c r="DJ234" s="1708"/>
      <c r="DK234" s="1708"/>
      <c r="DL234" s="1708"/>
      <c r="DM234" s="1708"/>
      <c r="DN234" s="1708"/>
      <c r="DO234" s="1708"/>
      <c r="DP234" s="1708"/>
      <c r="DQ234" s="1708"/>
      <c r="DR234" s="1708"/>
      <c r="DS234" s="1708"/>
      <c r="DT234" s="1708"/>
      <c r="DU234" s="1708"/>
      <c r="DV234" s="1708"/>
      <c r="DW234" s="1708"/>
      <c r="DX234" s="1708"/>
      <c r="DY234" s="1708"/>
      <c r="DZ234" s="1708"/>
      <c r="EA234" s="1708"/>
      <c r="EB234" s="1708"/>
      <c r="EC234" s="1708"/>
      <c r="ED234" s="1708"/>
      <c r="EE234" s="1708"/>
      <c r="EF234" s="1708"/>
      <c r="EG234" s="1708"/>
      <c r="EH234" s="1708"/>
      <c r="EI234" s="1708"/>
      <c r="EJ234" s="1708"/>
      <c r="EK234" s="1708"/>
      <c r="EL234" s="1708"/>
      <c r="EM234" s="1708"/>
      <c r="EN234" s="1708"/>
      <c r="EO234" s="1708"/>
      <c r="EP234" s="1708"/>
      <c r="EQ234" s="1708"/>
      <c r="ER234" s="1708"/>
      <c r="ES234" s="1708"/>
      <c r="ET234" s="1708"/>
      <c r="EU234" s="1708"/>
      <c r="EV234" s="1708"/>
      <c r="EW234" s="1708"/>
      <c r="EX234" s="1708"/>
      <c r="EY234" s="1708"/>
      <c r="EZ234" s="1708"/>
      <c r="FA234" s="1708"/>
      <c r="FB234" s="1708"/>
      <c r="FC234" s="1708"/>
      <c r="FD234" s="1708"/>
      <c r="FE234" s="1708"/>
      <c r="FF234" s="1708"/>
      <c r="FG234" s="1708"/>
      <c r="FH234" s="1708"/>
      <c r="FI234" s="1708"/>
      <c r="FJ234" s="1708"/>
      <c r="FK234" s="1708"/>
      <c r="FL234" s="1708"/>
      <c r="FM234" s="1708"/>
      <c r="FN234" s="1708"/>
      <c r="FO234" s="1708"/>
      <c r="FP234" s="1708"/>
      <c r="FQ234" s="1708"/>
      <c r="FR234" s="1708"/>
      <c r="FS234" s="1708"/>
      <c r="FT234" s="1708"/>
      <c r="FU234" s="1708"/>
      <c r="FV234" s="1708"/>
      <c r="FW234" s="1708"/>
      <c r="FX234" s="1708"/>
      <c r="FY234" s="1708"/>
      <c r="FZ234" s="1708"/>
      <c r="GA234" s="1708"/>
      <c r="GB234" s="1708"/>
      <c r="GC234" s="1708"/>
      <c r="GD234" s="1708"/>
      <c r="GE234" s="1708"/>
      <c r="GF234" s="1708"/>
      <c r="GG234" s="1708"/>
      <c r="GH234" s="1708"/>
      <c r="GI234" s="1708"/>
      <c r="GJ234" s="1708"/>
      <c r="GK234" s="1708"/>
      <c r="GL234" s="1708"/>
      <c r="GM234" s="1708"/>
      <c r="GN234" s="1708"/>
      <c r="GO234" s="1708"/>
      <c r="GP234" s="1708"/>
      <c r="GQ234" s="1708"/>
      <c r="GR234" s="1708"/>
      <c r="GS234" s="1708"/>
      <c r="GT234" s="1708"/>
      <c r="GU234" s="1708"/>
      <c r="GV234" s="1708"/>
      <c r="GW234" s="1708"/>
      <c r="GX234" s="1708"/>
      <c r="GY234" s="1708"/>
      <c r="GZ234" s="1708"/>
      <c r="HA234" s="1708"/>
      <c r="HB234" s="1708"/>
      <c r="HC234" s="1708"/>
      <c r="HD234" s="1708"/>
      <c r="HE234" s="1708"/>
      <c r="HF234" s="1708"/>
      <c r="HG234" s="1708"/>
      <c r="HH234" s="1708"/>
      <c r="HI234" s="1708"/>
      <c r="HJ234" s="1708"/>
      <c r="HK234" s="1708"/>
      <c r="HL234" s="1708"/>
      <c r="HM234" s="1708"/>
      <c r="HN234" s="1708"/>
      <c r="HO234" s="1708"/>
      <c r="HP234" s="1708"/>
      <c r="HQ234" s="1708"/>
      <c r="HR234" s="1708"/>
      <c r="HS234" s="1708"/>
      <c r="HT234" s="1708"/>
      <c r="HU234" s="1708"/>
      <c r="HV234" s="1708"/>
      <c r="HW234" s="1708"/>
      <c r="HX234" s="1708"/>
      <c r="HY234" s="1708"/>
      <c r="HZ234" s="1708"/>
      <c r="IA234" s="1708"/>
      <c r="IB234" s="1708"/>
      <c r="IC234" s="1708"/>
      <c r="ID234" s="1708"/>
      <c r="IE234" s="1708"/>
      <c r="IF234" s="1708"/>
      <c r="IG234" s="1708"/>
      <c r="IH234" s="1708"/>
      <c r="II234" s="1708"/>
      <c r="IJ234" s="1708"/>
      <c r="IK234" s="1708"/>
      <c r="IL234" s="1708"/>
      <c r="IM234" s="1708"/>
      <c r="IN234" s="1708"/>
      <c r="IO234" s="1708"/>
      <c r="IP234" s="1708"/>
      <c r="IQ234" s="1708"/>
      <c r="IR234" s="1708"/>
      <c r="IS234" s="1708"/>
      <c r="IT234" s="1708"/>
      <c r="IU234" s="1708"/>
      <c r="IV234" s="1708"/>
    </row>
    <row r="235" spans="2:256" s="57" customFormat="1" x14ac:dyDescent="0.25">
      <c r="B235" s="1836"/>
      <c r="G235" s="1849"/>
      <c r="J235" s="1850"/>
      <c r="K235" s="1850"/>
      <c r="S235" s="1708"/>
      <c r="T235" s="1708"/>
      <c r="U235" s="1708"/>
      <c r="V235" s="1708"/>
      <c r="W235" s="1708"/>
      <c r="X235" s="1708"/>
      <c r="Y235" s="1708"/>
      <c r="Z235" s="1708"/>
      <c r="AA235" s="1708"/>
      <c r="AB235" s="1708"/>
      <c r="AC235" s="1708"/>
      <c r="AD235" s="1708"/>
      <c r="AE235" s="1708"/>
      <c r="AF235" s="1708"/>
      <c r="AG235" s="1708"/>
      <c r="AH235" s="1708"/>
      <c r="AI235" s="1708"/>
      <c r="AJ235" s="1708"/>
      <c r="AK235" s="1708"/>
      <c r="AL235" s="1708"/>
      <c r="AM235" s="1708"/>
      <c r="AN235" s="1708"/>
      <c r="AO235" s="1708"/>
      <c r="AP235" s="1708"/>
      <c r="AQ235" s="1708"/>
      <c r="AR235" s="1708"/>
      <c r="AS235" s="1708"/>
      <c r="AT235" s="1708"/>
      <c r="AU235" s="1708"/>
      <c r="AV235" s="1708"/>
      <c r="AW235" s="1708"/>
      <c r="AX235" s="1708"/>
      <c r="AY235" s="1708"/>
      <c r="AZ235" s="1708"/>
      <c r="BA235" s="1708"/>
      <c r="BB235" s="1708"/>
      <c r="BC235" s="1708"/>
      <c r="BD235" s="1708"/>
      <c r="BE235" s="1708"/>
      <c r="BF235" s="1708"/>
      <c r="BG235" s="1708"/>
      <c r="BH235" s="1708"/>
      <c r="BI235" s="1708"/>
      <c r="BJ235" s="1708"/>
      <c r="BK235" s="1708"/>
      <c r="BL235" s="1708"/>
      <c r="BM235" s="1708"/>
      <c r="BN235" s="1708"/>
      <c r="BO235" s="1708"/>
      <c r="BP235" s="1708"/>
      <c r="BQ235" s="1708"/>
      <c r="BR235" s="1708"/>
      <c r="BS235" s="1708"/>
      <c r="BT235" s="1708"/>
      <c r="BU235" s="1708"/>
      <c r="BV235" s="1708"/>
      <c r="BW235" s="1708"/>
      <c r="BX235" s="1708"/>
      <c r="BY235" s="1708"/>
      <c r="BZ235" s="1708"/>
      <c r="CA235" s="1708"/>
      <c r="CB235" s="1708"/>
      <c r="CC235" s="1708"/>
      <c r="CD235" s="1708"/>
      <c r="CE235" s="1708"/>
      <c r="CF235" s="1708"/>
      <c r="CG235" s="1708"/>
      <c r="CH235" s="1708"/>
      <c r="CI235" s="1708"/>
      <c r="CJ235" s="1708"/>
      <c r="CK235" s="1708"/>
      <c r="CL235" s="1708"/>
      <c r="CM235" s="1708"/>
      <c r="CN235" s="1708"/>
      <c r="CO235" s="1708"/>
      <c r="CP235" s="1708"/>
      <c r="CQ235" s="1708"/>
      <c r="CR235" s="1708"/>
      <c r="CS235" s="1708"/>
      <c r="CT235" s="1708"/>
      <c r="CU235" s="1708"/>
      <c r="CV235" s="1708"/>
      <c r="CW235" s="1708"/>
      <c r="CX235" s="1708"/>
      <c r="CY235" s="1708"/>
      <c r="CZ235" s="1708"/>
      <c r="DA235" s="1708"/>
      <c r="DB235" s="1708"/>
      <c r="DC235" s="1708"/>
      <c r="DD235" s="1708"/>
      <c r="DE235" s="1708"/>
      <c r="DF235" s="1708"/>
      <c r="DG235" s="1708"/>
      <c r="DH235" s="1708"/>
      <c r="DI235" s="1708"/>
      <c r="DJ235" s="1708"/>
      <c r="DK235" s="1708"/>
      <c r="DL235" s="1708"/>
      <c r="DM235" s="1708"/>
      <c r="DN235" s="1708"/>
      <c r="DO235" s="1708"/>
      <c r="DP235" s="1708"/>
      <c r="DQ235" s="1708"/>
      <c r="DR235" s="1708"/>
      <c r="DS235" s="1708"/>
      <c r="DT235" s="1708"/>
      <c r="DU235" s="1708"/>
      <c r="DV235" s="1708"/>
      <c r="DW235" s="1708"/>
      <c r="DX235" s="1708"/>
      <c r="DY235" s="1708"/>
      <c r="DZ235" s="1708"/>
      <c r="EA235" s="1708"/>
      <c r="EB235" s="1708"/>
      <c r="EC235" s="1708"/>
      <c r="ED235" s="1708"/>
      <c r="EE235" s="1708"/>
      <c r="EF235" s="1708"/>
      <c r="EG235" s="1708"/>
      <c r="EH235" s="1708"/>
      <c r="EI235" s="1708"/>
      <c r="EJ235" s="1708"/>
      <c r="EK235" s="1708"/>
      <c r="EL235" s="1708"/>
      <c r="EM235" s="1708"/>
      <c r="EN235" s="1708"/>
      <c r="EO235" s="1708"/>
      <c r="EP235" s="1708"/>
      <c r="EQ235" s="1708"/>
      <c r="ER235" s="1708"/>
      <c r="ES235" s="1708"/>
      <c r="ET235" s="1708"/>
      <c r="EU235" s="1708"/>
      <c r="EV235" s="1708"/>
      <c r="EW235" s="1708"/>
      <c r="EX235" s="1708"/>
      <c r="EY235" s="1708"/>
      <c r="EZ235" s="1708"/>
      <c r="FA235" s="1708"/>
      <c r="FB235" s="1708"/>
      <c r="FC235" s="1708"/>
      <c r="FD235" s="1708"/>
      <c r="FE235" s="1708"/>
      <c r="FF235" s="1708"/>
      <c r="FG235" s="1708"/>
      <c r="FH235" s="1708"/>
      <c r="FI235" s="1708"/>
      <c r="FJ235" s="1708"/>
      <c r="FK235" s="1708"/>
      <c r="FL235" s="1708"/>
      <c r="FM235" s="1708"/>
      <c r="FN235" s="1708"/>
      <c r="FO235" s="1708"/>
      <c r="FP235" s="1708"/>
      <c r="FQ235" s="1708"/>
      <c r="FR235" s="1708"/>
      <c r="FS235" s="1708"/>
      <c r="FT235" s="1708"/>
      <c r="FU235" s="1708"/>
      <c r="FV235" s="1708"/>
      <c r="FW235" s="1708"/>
      <c r="FX235" s="1708"/>
      <c r="FY235" s="1708"/>
      <c r="FZ235" s="1708"/>
      <c r="GA235" s="1708"/>
      <c r="GB235" s="1708"/>
      <c r="GC235" s="1708"/>
      <c r="GD235" s="1708"/>
      <c r="GE235" s="1708"/>
      <c r="GF235" s="1708"/>
      <c r="GG235" s="1708"/>
      <c r="GH235" s="1708"/>
      <c r="GI235" s="1708"/>
      <c r="GJ235" s="1708"/>
      <c r="GK235" s="1708"/>
      <c r="GL235" s="1708"/>
      <c r="GM235" s="1708"/>
      <c r="GN235" s="1708"/>
      <c r="GO235" s="1708"/>
      <c r="GP235" s="1708"/>
      <c r="GQ235" s="1708"/>
      <c r="GR235" s="1708"/>
      <c r="GS235" s="1708"/>
      <c r="GT235" s="1708"/>
      <c r="GU235" s="1708"/>
      <c r="GV235" s="1708"/>
      <c r="GW235" s="1708"/>
      <c r="GX235" s="1708"/>
      <c r="GY235" s="1708"/>
      <c r="GZ235" s="1708"/>
      <c r="HA235" s="1708"/>
      <c r="HB235" s="1708"/>
      <c r="HC235" s="1708"/>
      <c r="HD235" s="1708"/>
      <c r="HE235" s="1708"/>
      <c r="HF235" s="1708"/>
      <c r="HG235" s="1708"/>
      <c r="HH235" s="1708"/>
      <c r="HI235" s="1708"/>
      <c r="HJ235" s="1708"/>
      <c r="HK235" s="1708"/>
      <c r="HL235" s="1708"/>
      <c r="HM235" s="1708"/>
      <c r="HN235" s="1708"/>
      <c r="HO235" s="1708"/>
      <c r="HP235" s="1708"/>
      <c r="HQ235" s="1708"/>
      <c r="HR235" s="1708"/>
      <c r="HS235" s="1708"/>
      <c r="HT235" s="1708"/>
      <c r="HU235" s="1708"/>
      <c r="HV235" s="1708"/>
      <c r="HW235" s="1708"/>
      <c r="HX235" s="1708"/>
      <c r="HY235" s="1708"/>
      <c r="HZ235" s="1708"/>
      <c r="IA235" s="1708"/>
      <c r="IB235" s="1708"/>
      <c r="IC235" s="1708"/>
      <c r="ID235" s="1708"/>
      <c r="IE235" s="1708"/>
      <c r="IF235" s="1708"/>
      <c r="IG235" s="1708"/>
      <c r="IH235" s="1708"/>
      <c r="II235" s="1708"/>
      <c r="IJ235" s="1708"/>
      <c r="IK235" s="1708"/>
      <c r="IL235" s="1708"/>
      <c r="IM235" s="1708"/>
      <c r="IN235" s="1708"/>
      <c r="IO235" s="1708"/>
      <c r="IP235" s="1708"/>
      <c r="IQ235" s="1708"/>
      <c r="IR235" s="1708"/>
      <c r="IS235" s="1708"/>
      <c r="IT235" s="1708"/>
      <c r="IU235" s="1708"/>
      <c r="IV235" s="1708"/>
    </row>
    <row r="236" spans="2:256" s="57" customFormat="1" x14ac:dyDescent="0.25">
      <c r="B236" s="1836"/>
      <c r="G236" s="1849"/>
      <c r="J236" s="1850"/>
      <c r="K236" s="1850"/>
      <c r="S236" s="1708"/>
      <c r="T236" s="1708"/>
      <c r="U236" s="1708"/>
      <c r="V236" s="1708"/>
      <c r="W236" s="1708"/>
      <c r="X236" s="1708"/>
      <c r="Y236" s="1708"/>
      <c r="Z236" s="1708"/>
      <c r="AA236" s="1708"/>
      <c r="AB236" s="1708"/>
      <c r="AC236" s="1708"/>
      <c r="AD236" s="1708"/>
      <c r="AE236" s="1708"/>
      <c r="AF236" s="1708"/>
      <c r="AG236" s="1708"/>
      <c r="AH236" s="1708"/>
      <c r="AI236" s="1708"/>
      <c r="AJ236" s="1708"/>
      <c r="AK236" s="1708"/>
      <c r="AL236" s="1708"/>
      <c r="AM236" s="1708"/>
      <c r="AN236" s="1708"/>
      <c r="AO236" s="1708"/>
      <c r="AP236" s="1708"/>
      <c r="AQ236" s="1708"/>
      <c r="AR236" s="1708"/>
      <c r="AS236" s="1708"/>
      <c r="AT236" s="1708"/>
      <c r="AU236" s="1708"/>
      <c r="AV236" s="1708"/>
      <c r="AW236" s="1708"/>
      <c r="AX236" s="1708"/>
      <c r="AY236" s="1708"/>
      <c r="AZ236" s="1708"/>
      <c r="BA236" s="1708"/>
      <c r="BB236" s="1708"/>
      <c r="BC236" s="1708"/>
      <c r="BD236" s="1708"/>
      <c r="BE236" s="1708"/>
      <c r="BF236" s="1708"/>
      <c r="BG236" s="1708"/>
      <c r="BH236" s="1708"/>
      <c r="BI236" s="1708"/>
      <c r="BJ236" s="1708"/>
      <c r="BK236" s="1708"/>
      <c r="BL236" s="1708"/>
      <c r="BM236" s="1708"/>
      <c r="BN236" s="1708"/>
      <c r="BO236" s="1708"/>
      <c r="BP236" s="1708"/>
      <c r="BQ236" s="1708"/>
      <c r="BR236" s="1708"/>
      <c r="BS236" s="1708"/>
      <c r="BT236" s="1708"/>
      <c r="BU236" s="1708"/>
      <c r="BV236" s="1708"/>
      <c r="BW236" s="1708"/>
      <c r="BX236" s="1708"/>
      <c r="BY236" s="1708"/>
      <c r="BZ236" s="1708"/>
      <c r="CA236" s="1708"/>
      <c r="CB236" s="1708"/>
      <c r="CC236" s="1708"/>
      <c r="CD236" s="1708"/>
      <c r="CE236" s="1708"/>
      <c r="CF236" s="1708"/>
      <c r="CG236" s="1708"/>
      <c r="CH236" s="1708"/>
      <c r="CI236" s="1708"/>
      <c r="CJ236" s="1708"/>
      <c r="CK236" s="1708"/>
      <c r="CL236" s="1708"/>
      <c r="CM236" s="1708"/>
      <c r="CN236" s="1708"/>
      <c r="CO236" s="1708"/>
      <c r="CP236" s="1708"/>
      <c r="CQ236" s="1708"/>
      <c r="CR236" s="1708"/>
      <c r="CS236" s="1708"/>
      <c r="CT236" s="1708"/>
      <c r="CU236" s="1708"/>
      <c r="CV236" s="1708"/>
      <c r="CW236" s="1708"/>
      <c r="CX236" s="1708"/>
      <c r="CY236" s="1708"/>
      <c r="CZ236" s="1708"/>
      <c r="DA236" s="1708"/>
      <c r="DB236" s="1708"/>
      <c r="DC236" s="1708"/>
      <c r="DD236" s="1708"/>
      <c r="DE236" s="1708"/>
      <c r="DF236" s="1708"/>
      <c r="DG236" s="1708"/>
      <c r="DH236" s="1708"/>
      <c r="DI236" s="1708"/>
      <c r="DJ236" s="1708"/>
      <c r="DK236" s="1708"/>
      <c r="DL236" s="1708"/>
      <c r="DM236" s="1708"/>
      <c r="DN236" s="1708"/>
      <c r="DO236" s="1708"/>
      <c r="DP236" s="1708"/>
      <c r="DQ236" s="1708"/>
      <c r="DR236" s="1708"/>
      <c r="DS236" s="1708"/>
      <c r="DT236" s="1708"/>
      <c r="DU236" s="1708"/>
      <c r="DV236" s="1708"/>
      <c r="DW236" s="1708"/>
      <c r="DX236" s="1708"/>
      <c r="DY236" s="1708"/>
      <c r="DZ236" s="1708"/>
      <c r="EA236" s="1708"/>
      <c r="EB236" s="1708"/>
      <c r="EC236" s="1708"/>
      <c r="ED236" s="1708"/>
      <c r="EE236" s="1708"/>
      <c r="EF236" s="1708"/>
      <c r="EG236" s="1708"/>
      <c r="EH236" s="1708"/>
      <c r="EI236" s="1708"/>
      <c r="EJ236" s="1708"/>
      <c r="EK236" s="1708"/>
      <c r="EL236" s="1708"/>
      <c r="EM236" s="1708"/>
      <c r="EN236" s="1708"/>
      <c r="EO236" s="1708"/>
      <c r="EP236" s="1708"/>
      <c r="EQ236" s="1708"/>
      <c r="ER236" s="1708"/>
      <c r="ES236" s="1708"/>
      <c r="ET236" s="1708"/>
      <c r="EU236" s="1708"/>
      <c r="EV236" s="1708"/>
      <c r="EW236" s="1708"/>
      <c r="EX236" s="1708"/>
      <c r="EY236" s="1708"/>
      <c r="EZ236" s="1708"/>
      <c r="FA236" s="1708"/>
      <c r="FB236" s="1708"/>
      <c r="FC236" s="1708"/>
      <c r="FD236" s="1708"/>
      <c r="FE236" s="1708"/>
      <c r="FF236" s="1708"/>
      <c r="FG236" s="1708"/>
      <c r="FH236" s="1708"/>
      <c r="FI236" s="1708"/>
      <c r="FJ236" s="1708"/>
      <c r="FK236" s="1708"/>
      <c r="FL236" s="1708"/>
      <c r="FM236" s="1708"/>
      <c r="FN236" s="1708"/>
      <c r="FO236" s="1708"/>
      <c r="FP236" s="1708"/>
      <c r="FQ236" s="1708"/>
      <c r="FR236" s="1708"/>
      <c r="FS236" s="1708"/>
      <c r="FT236" s="1708"/>
      <c r="FU236" s="1708"/>
      <c r="FV236" s="1708"/>
      <c r="FW236" s="1708"/>
      <c r="FX236" s="1708"/>
      <c r="FY236" s="1708"/>
      <c r="FZ236" s="1708"/>
      <c r="GA236" s="1708"/>
      <c r="GB236" s="1708"/>
      <c r="GC236" s="1708"/>
      <c r="GD236" s="1708"/>
      <c r="GE236" s="1708"/>
      <c r="GF236" s="1708"/>
      <c r="GG236" s="1708"/>
      <c r="GH236" s="1708"/>
      <c r="GI236" s="1708"/>
      <c r="GJ236" s="1708"/>
      <c r="GK236" s="1708"/>
      <c r="GL236" s="1708"/>
      <c r="GM236" s="1708"/>
      <c r="GN236" s="1708"/>
      <c r="GO236" s="1708"/>
      <c r="GP236" s="1708"/>
      <c r="GQ236" s="1708"/>
      <c r="GR236" s="1708"/>
      <c r="GS236" s="1708"/>
      <c r="GT236" s="1708"/>
      <c r="GU236" s="1708"/>
      <c r="GV236" s="1708"/>
      <c r="GW236" s="1708"/>
      <c r="GX236" s="1708"/>
      <c r="GY236" s="1708"/>
      <c r="GZ236" s="1708"/>
      <c r="HA236" s="1708"/>
      <c r="HB236" s="1708"/>
      <c r="HC236" s="1708"/>
      <c r="HD236" s="1708"/>
      <c r="HE236" s="1708"/>
      <c r="HF236" s="1708"/>
      <c r="HG236" s="1708"/>
      <c r="HH236" s="1708"/>
      <c r="HI236" s="1708"/>
      <c r="HJ236" s="1708"/>
      <c r="HK236" s="1708"/>
      <c r="HL236" s="1708"/>
      <c r="HM236" s="1708"/>
      <c r="HN236" s="1708"/>
      <c r="HO236" s="1708"/>
      <c r="HP236" s="1708"/>
      <c r="HQ236" s="1708"/>
      <c r="HR236" s="1708"/>
      <c r="HS236" s="1708"/>
      <c r="HT236" s="1708"/>
      <c r="HU236" s="1708"/>
      <c r="HV236" s="1708"/>
      <c r="HW236" s="1708"/>
      <c r="HX236" s="1708"/>
      <c r="HY236" s="1708"/>
      <c r="HZ236" s="1708"/>
      <c r="IA236" s="1708"/>
      <c r="IB236" s="1708"/>
      <c r="IC236" s="1708"/>
      <c r="ID236" s="1708"/>
      <c r="IE236" s="1708"/>
      <c r="IF236" s="1708"/>
      <c r="IG236" s="1708"/>
      <c r="IH236" s="1708"/>
      <c r="II236" s="1708"/>
      <c r="IJ236" s="1708"/>
      <c r="IK236" s="1708"/>
      <c r="IL236" s="1708"/>
      <c r="IM236" s="1708"/>
      <c r="IN236" s="1708"/>
      <c r="IO236" s="1708"/>
      <c r="IP236" s="1708"/>
      <c r="IQ236" s="1708"/>
      <c r="IR236" s="1708"/>
      <c r="IS236" s="1708"/>
      <c r="IT236" s="1708"/>
      <c r="IU236" s="1708"/>
      <c r="IV236" s="1708"/>
    </row>
    <row r="237" spans="2:256" s="57" customFormat="1" x14ac:dyDescent="0.25">
      <c r="B237" s="1836"/>
      <c r="G237" s="1849"/>
      <c r="J237" s="1850"/>
      <c r="K237" s="1850"/>
      <c r="S237" s="1708"/>
      <c r="T237" s="1708"/>
      <c r="U237" s="1708"/>
      <c r="V237" s="1708"/>
      <c r="W237" s="1708"/>
      <c r="X237" s="1708"/>
      <c r="Y237" s="1708"/>
      <c r="Z237" s="1708"/>
      <c r="AA237" s="1708"/>
      <c r="AB237" s="1708"/>
      <c r="AC237" s="1708"/>
      <c r="AD237" s="1708"/>
      <c r="AE237" s="1708"/>
      <c r="AF237" s="1708"/>
      <c r="AG237" s="1708"/>
      <c r="AH237" s="1708"/>
      <c r="AI237" s="1708"/>
      <c r="AJ237" s="1708"/>
      <c r="AK237" s="1708"/>
      <c r="AL237" s="1708"/>
      <c r="AM237" s="1708"/>
      <c r="AN237" s="1708"/>
      <c r="AO237" s="1708"/>
      <c r="AP237" s="1708"/>
      <c r="AQ237" s="1708"/>
      <c r="AR237" s="1708"/>
      <c r="AS237" s="1708"/>
      <c r="AT237" s="1708"/>
      <c r="AU237" s="1708"/>
      <c r="AV237" s="1708"/>
      <c r="AW237" s="1708"/>
      <c r="AX237" s="1708"/>
      <c r="AY237" s="1708"/>
      <c r="AZ237" s="1708"/>
      <c r="BA237" s="1708"/>
      <c r="BB237" s="1708"/>
      <c r="BC237" s="1708"/>
      <c r="BD237" s="1708"/>
      <c r="BE237" s="1708"/>
      <c r="BF237" s="1708"/>
      <c r="BG237" s="1708"/>
      <c r="BH237" s="1708"/>
      <c r="BI237" s="1708"/>
      <c r="BJ237" s="1708"/>
      <c r="BK237" s="1708"/>
      <c r="BL237" s="1708"/>
      <c r="BM237" s="1708"/>
      <c r="BN237" s="1708"/>
      <c r="BO237" s="1708"/>
      <c r="BP237" s="1708"/>
      <c r="BQ237" s="1708"/>
      <c r="BR237" s="1708"/>
      <c r="BS237" s="1708"/>
      <c r="BT237" s="1708"/>
      <c r="BU237" s="1708"/>
      <c r="BV237" s="1708"/>
      <c r="BW237" s="1708"/>
      <c r="BX237" s="1708"/>
      <c r="BY237" s="1708"/>
      <c r="BZ237" s="1708"/>
      <c r="CA237" s="1708"/>
      <c r="CB237" s="1708"/>
      <c r="CC237" s="1708"/>
      <c r="CD237" s="1708"/>
      <c r="CE237" s="1708"/>
      <c r="CF237" s="1708"/>
      <c r="CG237" s="1708"/>
      <c r="CH237" s="1708"/>
      <c r="CI237" s="1708"/>
      <c r="CJ237" s="1708"/>
      <c r="CK237" s="1708"/>
      <c r="CL237" s="1708"/>
      <c r="CM237" s="1708"/>
      <c r="CN237" s="1708"/>
      <c r="CO237" s="1708"/>
      <c r="CP237" s="1708"/>
      <c r="CQ237" s="1708"/>
      <c r="CR237" s="1708"/>
      <c r="CS237" s="1708"/>
      <c r="CT237" s="1708"/>
      <c r="CU237" s="1708"/>
      <c r="CV237" s="1708"/>
      <c r="CW237" s="1708"/>
      <c r="CX237" s="1708"/>
      <c r="CY237" s="1708"/>
      <c r="CZ237" s="1708"/>
      <c r="DA237" s="1708"/>
      <c r="DB237" s="1708"/>
      <c r="DC237" s="1708"/>
      <c r="DD237" s="1708"/>
      <c r="DE237" s="1708"/>
      <c r="DF237" s="1708"/>
      <c r="DG237" s="1708"/>
      <c r="DH237" s="1708"/>
      <c r="DI237" s="1708"/>
      <c r="DJ237" s="1708"/>
      <c r="DK237" s="1708"/>
      <c r="DL237" s="1708"/>
      <c r="DM237" s="1708"/>
      <c r="DN237" s="1708"/>
      <c r="DO237" s="1708"/>
      <c r="DP237" s="1708"/>
      <c r="DQ237" s="1708"/>
      <c r="DR237" s="1708"/>
      <c r="DS237" s="1708"/>
      <c r="DT237" s="1708"/>
      <c r="DU237" s="1708"/>
      <c r="DV237" s="1708"/>
      <c r="DW237" s="1708"/>
      <c r="DX237" s="1708"/>
      <c r="DY237" s="1708"/>
      <c r="DZ237" s="1708"/>
      <c r="EA237" s="1708"/>
      <c r="EB237" s="1708"/>
      <c r="EC237" s="1708"/>
      <c r="ED237" s="1708"/>
      <c r="EE237" s="1708"/>
      <c r="EF237" s="1708"/>
      <c r="EG237" s="1708"/>
      <c r="EH237" s="1708"/>
      <c r="EI237" s="1708"/>
      <c r="EJ237" s="1708"/>
      <c r="EK237" s="1708"/>
      <c r="EL237" s="1708"/>
      <c r="EM237" s="1708"/>
      <c r="EN237" s="1708"/>
      <c r="EO237" s="1708"/>
      <c r="EP237" s="1708"/>
      <c r="EQ237" s="1708"/>
      <c r="ER237" s="1708"/>
      <c r="ES237" s="1708"/>
      <c r="ET237" s="1708"/>
      <c r="EU237" s="1708"/>
      <c r="EV237" s="1708"/>
      <c r="EW237" s="1708"/>
      <c r="EX237" s="1708"/>
      <c r="EY237" s="1708"/>
      <c r="EZ237" s="1708"/>
      <c r="FA237" s="1708"/>
      <c r="FB237" s="1708"/>
      <c r="FC237" s="1708"/>
      <c r="FD237" s="1708"/>
      <c r="FE237" s="1708"/>
      <c r="FF237" s="1708"/>
      <c r="FG237" s="1708"/>
      <c r="FH237" s="1708"/>
      <c r="FI237" s="1708"/>
      <c r="FJ237" s="1708"/>
      <c r="FK237" s="1708"/>
      <c r="FL237" s="1708"/>
      <c r="FM237" s="1708"/>
      <c r="FN237" s="1708"/>
      <c r="FO237" s="1708"/>
      <c r="FP237" s="1708"/>
      <c r="FQ237" s="1708"/>
      <c r="FR237" s="1708"/>
      <c r="FS237" s="1708"/>
      <c r="FT237" s="1708"/>
      <c r="FU237" s="1708"/>
      <c r="FV237" s="1708"/>
      <c r="FW237" s="1708"/>
      <c r="FX237" s="1708"/>
      <c r="FY237" s="1708"/>
      <c r="FZ237" s="1708"/>
      <c r="GA237" s="1708"/>
      <c r="GB237" s="1708"/>
      <c r="GC237" s="1708"/>
      <c r="GD237" s="1708"/>
      <c r="GE237" s="1708"/>
      <c r="GF237" s="1708"/>
      <c r="GG237" s="1708"/>
      <c r="GH237" s="1708"/>
      <c r="GI237" s="1708"/>
      <c r="GJ237" s="1708"/>
      <c r="GK237" s="1708"/>
      <c r="GL237" s="1708"/>
      <c r="GM237" s="1708"/>
      <c r="GN237" s="1708"/>
      <c r="GO237" s="1708"/>
      <c r="GP237" s="1708"/>
      <c r="GQ237" s="1708"/>
      <c r="GR237" s="1708"/>
      <c r="GS237" s="1708"/>
      <c r="GT237" s="1708"/>
      <c r="GU237" s="1708"/>
      <c r="GV237" s="1708"/>
      <c r="GW237" s="1708"/>
      <c r="GX237" s="1708"/>
      <c r="GY237" s="1708"/>
      <c r="GZ237" s="1708"/>
      <c r="HA237" s="1708"/>
      <c r="HB237" s="1708"/>
      <c r="HC237" s="1708"/>
      <c r="HD237" s="1708"/>
      <c r="HE237" s="1708"/>
      <c r="HF237" s="1708"/>
      <c r="HG237" s="1708"/>
      <c r="HH237" s="1708"/>
      <c r="HI237" s="1708"/>
      <c r="HJ237" s="1708"/>
      <c r="HK237" s="1708"/>
      <c r="HL237" s="1708"/>
      <c r="HM237" s="1708"/>
      <c r="HN237" s="1708"/>
      <c r="HO237" s="1708"/>
      <c r="HP237" s="1708"/>
      <c r="HQ237" s="1708"/>
      <c r="HR237" s="1708"/>
      <c r="HS237" s="1708"/>
      <c r="HT237" s="1708"/>
      <c r="HU237" s="1708"/>
      <c r="HV237" s="1708"/>
      <c r="HW237" s="1708"/>
      <c r="HX237" s="1708"/>
      <c r="HY237" s="1708"/>
      <c r="HZ237" s="1708"/>
      <c r="IA237" s="1708"/>
      <c r="IB237" s="1708"/>
      <c r="IC237" s="1708"/>
      <c r="ID237" s="1708"/>
      <c r="IE237" s="1708"/>
      <c r="IF237" s="1708"/>
      <c r="IG237" s="1708"/>
      <c r="IH237" s="1708"/>
      <c r="II237" s="1708"/>
      <c r="IJ237" s="1708"/>
      <c r="IK237" s="1708"/>
      <c r="IL237" s="1708"/>
      <c r="IM237" s="1708"/>
      <c r="IN237" s="1708"/>
      <c r="IO237" s="1708"/>
      <c r="IP237" s="1708"/>
      <c r="IQ237" s="1708"/>
      <c r="IR237" s="1708"/>
      <c r="IS237" s="1708"/>
      <c r="IT237" s="1708"/>
      <c r="IU237" s="1708"/>
      <c r="IV237" s="1708"/>
    </row>
    <row r="238" spans="2:256" s="57" customFormat="1" x14ac:dyDescent="0.25">
      <c r="B238" s="1836"/>
      <c r="G238" s="1849"/>
      <c r="J238" s="1850"/>
      <c r="K238" s="1850"/>
      <c r="S238" s="1708"/>
      <c r="T238" s="1708"/>
      <c r="U238" s="1708"/>
      <c r="V238" s="1708"/>
      <c r="W238" s="1708"/>
      <c r="X238" s="1708"/>
      <c r="Y238" s="1708"/>
      <c r="Z238" s="1708"/>
      <c r="AA238" s="1708"/>
      <c r="AB238" s="1708"/>
      <c r="AC238" s="1708"/>
      <c r="AD238" s="1708"/>
      <c r="AE238" s="1708"/>
      <c r="AF238" s="1708"/>
      <c r="AG238" s="1708"/>
      <c r="AH238" s="1708"/>
      <c r="AI238" s="1708"/>
      <c r="AJ238" s="1708"/>
      <c r="AK238" s="1708"/>
      <c r="AL238" s="1708"/>
      <c r="AM238" s="1708"/>
      <c r="AN238" s="1708"/>
      <c r="AO238" s="1708"/>
      <c r="AP238" s="1708"/>
      <c r="AQ238" s="1708"/>
      <c r="AR238" s="1708"/>
      <c r="AS238" s="1708"/>
      <c r="AT238" s="1708"/>
      <c r="AU238" s="1708"/>
      <c r="AV238" s="1708"/>
      <c r="AW238" s="1708"/>
      <c r="AX238" s="1708"/>
      <c r="AY238" s="1708"/>
      <c r="AZ238" s="1708"/>
      <c r="BA238" s="1708"/>
      <c r="BB238" s="1708"/>
      <c r="BC238" s="1708"/>
      <c r="BD238" s="1708"/>
      <c r="BE238" s="1708"/>
      <c r="BF238" s="1708"/>
      <c r="BG238" s="1708"/>
      <c r="BH238" s="1708"/>
      <c r="BI238" s="1708"/>
      <c r="BJ238" s="1708"/>
      <c r="BK238" s="1708"/>
      <c r="BL238" s="1708"/>
      <c r="BM238" s="1708"/>
      <c r="BN238" s="1708"/>
      <c r="BO238" s="1708"/>
      <c r="BP238" s="1708"/>
      <c r="BQ238" s="1708"/>
      <c r="BR238" s="1708"/>
      <c r="BS238" s="1708"/>
      <c r="BT238" s="1708"/>
      <c r="BU238" s="1708"/>
      <c r="BV238" s="1708"/>
      <c r="BW238" s="1708"/>
      <c r="BX238" s="1708"/>
      <c r="BY238" s="1708"/>
      <c r="BZ238" s="1708"/>
      <c r="CA238" s="1708"/>
      <c r="CB238" s="1708"/>
      <c r="CC238" s="1708"/>
      <c r="CD238" s="1708"/>
      <c r="CE238" s="1708"/>
      <c r="CF238" s="1708"/>
      <c r="CG238" s="1708"/>
      <c r="CH238" s="1708"/>
      <c r="CI238" s="1708"/>
      <c r="CJ238" s="1708"/>
      <c r="CK238" s="1708"/>
      <c r="CL238" s="1708"/>
      <c r="CM238" s="1708"/>
      <c r="CN238" s="1708"/>
      <c r="CO238" s="1708"/>
      <c r="CP238" s="1708"/>
      <c r="CQ238" s="1708"/>
      <c r="CR238" s="1708"/>
      <c r="CS238" s="1708"/>
      <c r="CT238" s="1708"/>
      <c r="CU238" s="1708"/>
      <c r="CV238" s="1708"/>
      <c r="CW238" s="1708"/>
      <c r="CX238" s="1708"/>
      <c r="CY238" s="1708"/>
      <c r="CZ238" s="1708"/>
      <c r="DA238" s="1708"/>
      <c r="DB238" s="1708"/>
      <c r="DC238" s="1708"/>
      <c r="DD238" s="1708"/>
      <c r="DE238" s="1708"/>
      <c r="DF238" s="1708"/>
      <c r="DG238" s="1708"/>
      <c r="DH238" s="1708"/>
      <c r="DI238" s="1708"/>
      <c r="DJ238" s="1708"/>
      <c r="DK238" s="1708"/>
      <c r="DL238" s="1708"/>
      <c r="DM238" s="1708"/>
      <c r="DN238" s="1708"/>
      <c r="DO238" s="1708"/>
      <c r="DP238" s="1708"/>
      <c r="DQ238" s="1708"/>
      <c r="DR238" s="1708"/>
      <c r="DS238" s="1708"/>
      <c r="DT238" s="1708"/>
      <c r="DU238" s="1708"/>
      <c r="DV238" s="1708"/>
      <c r="DW238" s="1708"/>
      <c r="DX238" s="1708"/>
      <c r="DY238" s="1708"/>
      <c r="DZ238" s="1708"/>
      <c r="EA238" s="1708"/>
      <c r="EB238" s="1708"/>
      <c r="EC238" s="1708"/>
      <c r="ED238" s="1708"/>
      <c r="EE238" s="1708"/>
      <c r="EF238" s="1708"/>
      <c r="EG238" s="1708"/>
      <c r="EH238" s="1708"/>
      <c r="EI238" s="1708"/>
      <c r="EJ238" s="1708"/>
      <c r="EK238" s="1708"/>
      <c r="EL238" s="1708"/>
      <c r="EM238" s="1708"/>
      <c r="EN238" s="1708"/>
      <c r="EO238" s="1708"/>
      <c r="EP238" s="1708"/>
      <c r="EQ238" s="1708"/>
      <c r="ER238" s="1708"/>
      <c r="ES238" s="1708"/>
      <c r="ET238" s="1708"/>
      <c r="EU238" s="1708"/>
      <c r="EV238" s="1708"/>
      <c r="EW238" s="1708"/>
      <c r="EX238" s="1708"/>
      <c r="EY238" s="1708"/>
      <c r="EZ238" s="1708"/>
      <c r="FA238" s="1708"/>
      <c r="FB238" s="1708"/>
      <c r="FC238" s="1708"/>
      <c r="FD238" s="1708"/>
      <c r="FE238" s="1708"/>
      <c r="FF238" s="1708"/>
      <c r="FG238" s="1708"/>
      <c r="FH238" s="1708"/>
      <c r="FI238" s="1708"/>
      <c r="FJ238" s="1708"/>
      <c r="FK238" s="1708"/>
      <c r="FL238" s="1708"/>
      <c r="FM238" s="1708"/>
      <c r="FN238" s="1708"/>
      <c r="FO238" s="1708"/>
      <c r="FP238" s="1708"/>
      <c r="FQ238" s="1708"/>
      <c r="FR238" s="1708"/>
      <c r="FS238" s="1708"/>
      <c r="FT238" s="1708"/>
      <c r="FU238" s="1708"/>
      <c r="FV238" s="1708"/>
      <c r="FW238" s="1708"/>
      <c r="FX238" s="1708"/>
      <c r="FY238" s="1708"/>
      <c r="FZ238" s="1708"/>
      <c r="GA238" s="1708"/>
      <c r="GB238" s="1708"/>
      <c r="GC238" s="1708"/>
      <c r="GD238" s="1708"/>
      <c r="GE238" s="1708"/>
      <c r="GF238" s="1708"/>
      <c r="GG238" s="1708"/>
      <c r="GH238" s="1708"/>
      <c r="GI238" s="1708"/>
      <c r="GJ238" s="1708"/>
      <c r="GK238" s="1708"/>
      <c r="GL238" s="1708"/>
      <c r="GM238" s="1708"/>
      <c r="GN238" s="1708"/>
      <c r="GO238" s="1708"/>
      <c r="GP238" s="1708"/>
      <c r="GQ238" s="1708"/>
      <c r="GR238" s="1708"/>
      <c r="GS238" s="1708"/>
      <c r="GT238" s="1708"/>
      <c r="GU238" s="1708"/>
      <c r="GV238" s="1708"/>
      <c r="GW238" s="1708"/>
      <c r="GX238" s="1708"/>
      <c r="GY238" s="1708"/>
      <c r="GZ238" s="1708"/>
      <c r="HA238" s="1708"/>
      <c r="HB238" s="1708"/>
      <c r="HC238" s="1708"/>
      <c r="HD238" s="1708"/>
      <c r="HE238" s="1708"/>
      <c r="HF238" s="1708"/>
      <c r="HG238" s="1708"/>
      <c r="HH238" s="1708"/>
      <c r="HI238" s="1708"/>
      <c r="HJ238" s="1708"/>
      <c r="HK238" s="1708"/>
      <c r="HL238" s="1708"/>
      <c r="HM238" s="1708"/>
      <c r="HN238" s="1708"/>
      <c r="HO238" s="1708"/>
      <c r="HP238" s="1708"/>
      <c r="HQ238" s="1708"/>
      <c r="HR238" s="1708"/>
      <c r="HS238" s="1708"/>
      <c r="HT238" s="1708"/>
      <c r="HU238" s="1708"/>
      <c r="HV238" s="1708"/>
      <c r="HW238" s="1708"/>
      <c r="HX238" s="1708"/>
      <c r="HY238" s="1708"/>
      <c r="HZ238" s="1708"/>
      <c r="IA238" s="1708"/>
      <c r="IB238" s="1708"/>
      <c r="IC238" s="1708"/>
      <c r="ID238" s="1708"/>
      <c r="IE238" s="1708"/>
      <c r="IF238" s="1708"/>
      <c r="IG238" s="1708"/>
      <c r="IH238" s="1708"/>
      <c r="II238" s="1708"/>
      <c r="IJ238" s="1708"/>
      <c r="IK238" s="1708"/>
      <c r="IL238" s="1708"/>
      <c r="IM238" s="1708"/>
      <c r="IN238" s="1708"/>
      <c r="IO238" s="1708"/>
      <c r="IP238" s="1708"/>
      <c r="IQ238" s="1708"/>
      <c r="IR238" s="1708"/>
      <c r="IS238" s="1708"/>
      <c r="IT238" s="1708"/>
      <c r="IU238" s="1708"/>
      <c r="IV238" s="1708"/>
    </row>
    <row r="239" spans="2:256" s="57" customFormat="1" x14ac:dyDescent="0.25">
      <c r="B239" s="1836"/>
      <c r="G239" s="1849"/>
      <c r="J239" s="1850"/>
      <c r="K239" s="1850"/>
      <c r="S239" s="1708"/>
      <c r="T239" s="1708"/>
      <c r="U239" s="1708"/>
      <c r="V239" s="1708"/>
      <c r="W239" s="1708"/>
      <c r="X239" s="1708"/>
      <c r="Y239" s="1708"/>
      <c r="Z239" s="1708"/>
      <c r="AA239" s="1708"/>
      <c r="AB239" s="1708"/>
      <c r="AC239" s="1708"/>
      <c r="AD239" s="1708"/>
      <c r="AE239" s="1708"/>
      <c r="AF239" s="1708"/>
      <c r="AG239" s="1708"/>
      <c r="AH239" s="1708"/>
      <c r="AI239" s="1708"/>
      <c r="AJ239" s="1708"/>
      <c r="AK239" s="1708"/>
      <c r="AL239" s="1708"/>
      <c r="AM239" s="1708"/>
      <c r="AN239" s="1708"/>
      <c r="AO239" s="1708"/>
      <c r="AP239" s="1708"/>
      <c r="AQ239" s="1708"/>
      <c r="AR239" s="1708"/>
      <c r="AS239" s="1708"/>
      <c r="AT239" s="1708"/>
      <c r="AU239" s="1708"/>
      <c r="AV239" s="1708"/>
      <c r="AW239" s="1708"/>
      <c r="AX239" s="1708"/>
      <c r="AY239" s="1708"/>
      <c r="AZ239" s="1708"/>
      <c r="BA239" s="1708"/>
      <c r="BB239" s="1708"/>
      <c r="BC239" s="1708"/>
      <c r="BD239" s="1708"/>
      <c r="BE239" s="1708"/>
      <c r="BF239" s="1708"/>
      <c r="BG239" s="1708"/>
      <c r="BH239" s="1708"/>
      <c r="BI239" s="1708"/>
      <c r="BJ239" s="1708"/>
      <c r="BK239" s="1708"/>
      <c r="BL239" s="1708"/>
      <c r="BM239" s="1708"/>
      <c r="BN239" s="1708"/>
      <c r="BO239" s="1708"/>
      <c r="BP239" s="1708"/>
      <c r="BQ239" s="1708"/>
      <c r="BR239" s="1708"/>
      <c r="BS239" s="1708"/>
      <c r="BT239" s="1708"/>
      <c r="BU239" s="1708"/>
      <c r="BV239" s="1708"/>
      <c r="BW239" s="1708"/>
      <c r="BX239" s="1708"/>
      <c r="BY239" s="1708"/>
      <c r="BZ239" s="1708"/>
      <c r="CA239" s="1708"/>
      <c r="CB239" s="1708"/>
      <c r="CC239" s="1708"/>
      <c r="CD239" s="1708"/>
      <c r="CE239" s="1708"/>
      <c r="CF239" s="1708"/>
      <c r="CG239" s="1708"/>
      <c r="CH239" s="1708"/>
      <c r="CI239" s="1708"/>
      <c r="CJ239" s="1708"/>
      <c r="CK239" s="1708"/>
      <c r="CL239" s="1708"/>
      <c r="CM239" s="1708"/>
      <c r="CN239" s="1708"/>
      <c r="CO239" s="1708"/>
      <c r="CP239" s="1708"/>
      <c r="CQ239" s="1708"/>
      <c r="CR239" s="1708"/>
      <c r="CS239" s="1708"/>
      <c r="CT239" s="1708"/>
      <c r="CU239" s="1708"/>
      <c r="CV239" s="1708"/>
      <c r="CW239" s="1708"/>
      <c r="CX239" s="1708"/>
      <c r="CY239" s="1708"/>
      <c r="CZ239" s="1708"/>
      <c r="DA239" s="1708"/>
      <c r="DB239" s="1708"/>
      <c r="DC239" s="1708"/>
      <c r="DD239" s="1708"/>
      <c r="DE239" s="1708"/>
      <c r="DF239" s="1708"/>
      <c r="DG239" s="1708"/>
      <c r="DH239" s="1708"/>
      <c r="DI239" s="1708"/>
      <c r="DJ239" s="1708"/>
      <c r="DK239" s="1708"/>
      <c r="DL239" s="1708"/>
      <c r="DM239" s="1708"/>
      <c r="DN239" s="1708"/>
      <c r="DO239" s="1708"/>
      <c r="DP239" s="1708"/>
      <c r="DQ239" s="1708"/>
      <c r="DR239" s="1708"/>
      <c r="DS239" s="1708"/>
      <c r="DT239" s="1708"/>
      <c r="DU239" s="1708"/>
      <c r="DV239" s="1708"/>
      <c r="DW239" s="1708"/>
      <c r="DX239" s="1708"/>
      <c r="DY239" s="1708"/>
      <c r="DZ239" s="1708"/>
      <c r="EA239" s="1708"/>
      <c r="EB239" s="1708"/>
      <c r="EC239" s="1708"/>
      <c r="ED239" s="1708"/>
      <c r="EE239" s="1708"/>
      <c r="EF239" s="1708"/>
      <c r="EG239" s="1708"/>
      <c r="EH239" s="1708"/>
      <c r="EI239" s="1708"/>
      <c r="EJ239" s="1708"/>
      <c r="EK239" s="1708"/>
      <c r="EL239" s="1708"/>
      <c r="EM239" s="1708"/>
      <c r="EN239" s="1708"/>
      <c r="EO239" s="1708"/>
      <c r="EP239" s="1708"/>
      <c r="EQ239" s="1708"/>
      <c r="ER239" s="1708"/>
      <c r="ES239" s="1708"/>
      <c r="ET239" s="1708"/>
      <c r="EU239" s="1708"/>
      <c r="EV239" s="1708"/>
      <c r="EW239" s="1708"/>
      <c r="EX239" s="1708"/>
      <c r="EY239" s="1708"/>
      <c r="EZ239" s="1708"/>
      <c r="FA239" s="1708"/>
      <c r="FB239" s="1708"/>
      <c r="FC239" s="1708"/>
      <c r="FD239" s="1708"/>
      <c r="FE239" s="1708"/>
      <c r="FF239" s="1708"/>
      <c r="FG239" s="1708"/>
      <c r="FH239" s="1708"/>
      <c r="FI239" s="1708"/>
      <c r="FJ239" s="1708"/>
      <c r="FK239" s="1708"/>
      <c r="FL239" s="1708"/>
      <c r="FM239" s="1708"/>
      <c r="FN239" s="1708"/>
      <c r="FO239" s="1708"/>
      <c r="FP239" s="1708"/>
      <c r="FQ239" s="1708"/>
      <c r="FR239" s="1708"/>
      <c r="FS239" s="1708"/>
      <c r="FT239" s="1708"/>
      <c r="FU239" s="1708"/>
      <c r="FV239" s="1708"/>
      <c r="FW239" s="1708"/>
      <c r="FX239" s="1708"/>
      <c r="FY239" s="1708"/>
      <c r="FZ239" s="1708"/>
      <c r="GA239" s="1708"/>
      <c r="GB239" s="1708"/>
      <c r="GC239" s="1708"/>
      <c r="GD239" s="1708"/>
      <c r="GE239" s="1708"/>
      <c r="GF239" s="1708"/>
      <c r="GG239" s="1708"/>
      <c r="GH239" s="1708"/>
      <c r="GI239" s="1708"/>
      <c r="GJ239" s="1708"/>
      <c r="GK239" s="1708"/>
      <c r="GL239" s="1708"/>
      <c r="GM239" s="1708"/>
      <c r="GN239" s="1708"/>
      <c r="GO239" s="1708"/>
      <c r="GP239" s="1708"/>
      <c r="GQ239" s="1708"/>
      <c r="GR239" s="1708"/>
      <c r="GS239" s="1708"/>
      <c r="GT239" s="1708"/>
      <c r="GU239" s="1708"/>
      <c r="GV239" s="1708"/>
      <c r="GW239" s="1708"/>
      <c r="GX239" s="1708"/>
      <c r="GY239" s="1708"/>
      <c r="GZ239" s="1708"/>
      <c r="HA239" s="1708"/>
      <c r="HB239" s="1708"/>
      <c r="HC239" s="1708"/>
      <c r="HD239" s="1708"/>
      <c r="HE239" s="1708"/>
      <c r="HF239" s="1708"/>
      <c r="HG239" s="1708"/>
      <c r="HH239" s="1708"/>
      <c r="HI239" s="1708"/>
      <c r="HJ239" s="1708"/>
      <c r="HK239" s="1708"/>
      <c r="HL239" s="1708"/>
      <c r="HM239" s="1708"/>
      <c r="HN239" s="1708"/>
      <c r="HO239" s="1708"/>
      <c r="HP239" s="1708"/>
      <c r="HQ239" s="1708"/>
      <c r="HR239" s="1708"/>
      <c r="HS239" s="1708"/>
      <c r="HT239" s="1708"/>
      <c r="HU239" s="1708"/>
      <c r="HV239" s="1708"/>
      <c r="HW239" s="1708"/>
      <c r="HX239" s="1708"/>
      <c r="HY239" s="1708"/>
      <c r="HZ239" s="1708"/>
      <c r="IA239" s="1708"/>
      <c r="IB239" s="1708"/>
      <c r="IC239" s="1708"/>
      <c r="ID239" s="1708"/>
      <c r="IE239" s="1708"/>
      <c r="IF239" s="1708"/>
      <c r="IG239" s="1708"/>
      <c r="IH239" s="1708"/>
      <c r="II239" s="1708"/>
      <c r="IJ239" s="1708"/>
      <c r="IK239" s="1708"/>
      <c r="IL239" s="1708"/>
      <c r="IM239" s="1708"/>
      <c r="IN239" s="1708"/>
      <c r="IO239" s="1708"/>
      <c r="IP239" s="1708"/>
      <c r="IQ239" s="1708"/>
      <c r="IR239" s="1708"/>
      <c r="IS239" s="1708"/>
      <c r="IT239" s="1708"/>
      <c r="IU239" s="1708"/>
      <c r="IV239" s="1708"/>
    </row>
    <row r="240" spans="2:256" s="57" customFormat="1" x14ac:dyDescent="0.25">
      <c r="B240" s="1836"/>
      <c r="G240" s="1849"/>
      <c r="J240" s="1850"/>
      <c r="K240" s="1850"/>
      <c r="S240" s="1708"/>
      <c r="T240" s="1708"/>
      <c r="U240" s="1708"/>
      <c r="V240" s="1708"/>
      <c r="W240" s="1708"/>
      <c r="X240" s="1708"/>
      <c r="Y240" s="1708"/>
      <c r="Z240" s="1708"/>
      <c r="AA240" s="1708"/>
      <c r="AB240" s="1708"/>
      <c r="AC240" s="1708"/>
      <c r="AD240" s="1708"/>
      <c r="AE240" s="1708"/>
      <c r="AF240" s="1708"/>
      <c r="AG240" s="1708"/>
      <c r="AH240" s="1708"/>
      <c r="AI240" s="1708"/>
      <c r="AJ240" s="1708"/>
      <c r="AK240" s="1708"/>
      <c r="AL240" s="1708"/>
      <c r="AM240" s="1708"/>
      <c r="AN240" s="1708"/>
      <c r="AO240" s="1708"/>
      <c r="AP240" s="1708"/>
      <c r="AQ240" s="1708"/>
      <c r="AR240" s="1708"/>
      <c r="AS240" s="1708"/>
      <c r="AT240" s="1708"/>
      <c r="AU240" s="1708"/>
      <c r="AV240" s="1708"/>
      <c r="AW240" s="1708"/>
      <c r="AX240" s="1708"/>
      <c r="AY240" s="1708"/>
      <c r="AZ240" s="1708"/>
      <c r="BA240" s="1708"/>
      <c r="BB240" s="1708"/>
      <c r="BC240" s="1708"/>
      <c r="BD240" s="1708"/>
      <c r="BE240" s="1708"/>
      <c r="BF240" s="1708"/>
      <c r="BG240" s="1708"/>
      <c r="BH240" s="1708"/>
      <c r="BI240" s="1708"/>
      <c r="BJ240" s="1708"/>
      <c r="BK240" s="1708"/>
      <c r="BL240" s="1708"/>
      <c r="BM240" s="1708"/>
      <c r="BN240" s="1708"/>
      <c r="BO240" s="1708"/>
      <c r="BP240" s="1708"/>
      <c r="BQ240" s="1708"/>
      <c r="BR240" s="1708"/>
      <c r="BS240" s="1708"/>
      <c r="BT240" s="1708"/>
      <c r="BU240" s="1708"/>
      <c r="BV240" s="1708"/>
      <c r="BW240" s="1708"/>
      <c r="BX240" s="1708"/>
      <c r="BY240" s="1708"/>
      <c r="BZ240" s="1708"/>
      <c r="CA240" s="1708"/>
      <c r="CB240" s="1708"/>
      <c r="CC240" s="1708"/>
      <c r="CD240" s="1708"/>
      <c r="CE240" s="1708"/>
      <c r="CF240" s="1708"/>
      <c r="CG240" s="1708"/>
      <c r="CH240" s="1708"/>
      <c r="CI240" s="1708"/>
      <c r="CJ240" s="1708"/>
      <c r="CK240" s="1708"/>
      <c r="CL240" s="1708"/>
      <c r="CM240" s="1708"/>
      <c r="CN240" s="1708"/>
      <c r="CO240" s="1708"/>
      <c r="CP240" s="1708"/>
      <c r="CQ240" s="1708"/>
      <c r="CR240" s="1708"/>
      <c r="CS240" s="1708"/>
      <c r="CT240" s="1708"/>
      <c r="CU240" s="1708"/>
      <c r="CV240" s="1708"/>
      <c r="CW240" s="1708"/>
      <c r="CX240" s="1708"/>
      <c r="CY240" s="1708"/>
      <c r="CZ240" s="1708"/>
      <c r="DA240" s="1708"/>
      <c r="DB240" s="1708"/>
      <c r="DC240" s="1708"/>
      <c r="DD240" s="1708"/>
      <c r="DE240" s="1708"/>
      <c r="DF240" s="1708"/>
      <c r="DG240" s="1708"/>
      <c r="DH240" s="1708"/>
      <c r="DI240" s="1708"/>
      <c r="DJ240" s="1708"/>
      <c r="DK240" s="1708"/>
      <c r="DL240" s="1708"/>
      <c r="DM240" s="1708"/>
      <c r="DN240" s="1708"/>
      <c r="DO240" s="1708"/>
      <c r="DP240" s="1708"/>
      <c r="DQ240" s="1708"/>
      <c r="DR240" s="1708"/>
      <c r="DS240" s="1708"/>
      <c r="DT240" s="1708"/>
      <c r="DU240" s="1708"/>
      <c r="DV240" s="1708"/>
      <c r="DW240" s="1708"/>
      <c r="DX240" s="1708"/>
      <c r="DY240" s="1708"/>
      <c r="DZ240" s="1708"/>
      <c r="EA240" s="1708"/>
      <c r="EB240" s="1708"/>
      <c r="EC240" s="1708"/>
      <c r="ED240" s="1708"/>
      <c r="EE240" s="1708"/>
      <c r="EF240" s="1708"/>
      <c r="EG240" s="1708"/>
      <c r="EH240" s="1708"/>
      <c r="EI240" s="1708"/>
      <c r="EJ240" s="1708"/>
      <c r="EK240" s="1708"/>
      <c r="EL240" s="1708"/>
      <c r="EM240" s="1708"/>
      <c r="EN240" s="1708"/>
      <c r="EO240" s="1708"/>
      <c r="EP240" s="1708"/>
      <c r="EQ240" s="1708"/>
      <c r="ER240" s="1708"/>
      <c r="ES240" s="1708"/>
      <c r="ET240" s="1708"/>
      <c r="EU240" s="1708"/>
      <c r="EV240" s="1708"/>
      <c r="EW240" s="1708"/>
      <c r="EX240" s="1708"/>
      <c r="EY240" s="1708"/>
      <c r="EZ240" s="1708"/>
      <c r="FA240" s="1708"/>
      <c r="FB240" s="1708"/>
      <c r="FC240" s="1708"/>
      <c r="FD240" s="1708"/>
      <c r="FE240" s="1708"/>
      <c r="FF240" s="1708"/>
      <c r="FG240" s="1708"/>
      <c r="FH240" s="1708"/>
      <c r="FI240" s="1708"/>
      <c r="FJ240" s="1708"/>
      <c r="FK240" s="1708"/>
      <c r="FL240" s="1708"/>
      <c r="FM240" s="1708"/>
      <c r="FN240" s="1708"/>
      <c r="FO240" s="1708"/>
      <c r="FP240" s="1708"/>
      <c r="FQ240" s="1708"/>
      <c r="FR240" s="1708"/>
      <c r="FS240" s="1708"/>
      <c r="FT240" s="1708"/>
      <c r="FU240" s="1708"/>
      <c r="FV240" s="1708"/>
      <c r="FW240" s="1708"/>
      <c r="FX240" s="1708"/>
      <c r="FY240" s="1708"/>
      <c r="FZ240" s="1708"/>
      <c r="GA240" s="1708"/>
      <c r="GB240" s="1708"/>
      <c r="GC240" s="1708"/>
      <c r="GD240" s="1708"/>
      <c r="GE240" s="1708"/>
      <c r="GF240" s="1708"/>
      <c r="GG240" s="1708"/>
      <c r="GH240" s="1708"/>
      <c r="GI240" s="1708"/>
      <c r="GJ240" s="1708"/>
      <c r="GK240" s="1708"/>
      <c r="GL240" s="1708"/>
      <c r="GM240" s="1708"/>
      <c r="GN240" s="1708"/>
      <c r="GO240" s="1708"/>
      <c r="GP240" s="1708"/>
      <c r="GQ240" s="1708"/>
      <c r="GR240" s="1708"/>
      <c r="GS240" s="1708"/>
      <c r="GT240" s="1708"/>
      <c r="GU240" s="1708"/>
      <c r="GV240" s="1708"/>
      <c r="GW240" s="1708"/>
      <c r="GX240" s="1708"/>
      <c r="GY240" s="1708"/>
      <c r="GZ240" s="1708"/>
      <c r="HA240" s="1708"/>
      <c r="HB240" s="1708"/>
      <c r="HC240" s="1708"/>
      <c r="HD240" s="1708"/>
      <c r="HE240" s="1708"/>
      <c r="HF240" s="1708"/>
      <c r="HG240" s="1708"/>
      <c r="HH240" s="1708"/>
      <c r="HI240" s="1708"/>
      <c r="HJ240" s="1708"/>
      <c r="HK240" s="1708"/>
      <c r="HL240" s="1708"/>
      <c r="HM240" s="1708"/>
      <c r="HN240" s="1708"/>
      <c r="HO240" s="1708"/>
      <c r="HP240" s="1708"/>
      <c r="HQ240" s="1708"/>
      <c r="HR240" s="1708"/>
      <c r="HS240" s="1708"/>
      <c r="HT240" s="1708"/>
      <c r="HU240" s="1708"/>
      <c r="HV240" s="1708"/>
      <c r="HW240" s="1708"/>
      <c r="HX240" s="1708"/>
      <c r="HY240" s="1708"/>
      <c r="HZ240" s="1708"/>
      <c r="IA240" s="1708"/>
      <c r="IB240" s="1708"/>
      <c r="IC240" s="1708"/>
      <c r="ID240" s="1708"/>
      <c r="IE240" s="1708"/>
      <c r="IF240" s="1708"/>
      <c r="IG240" s="1708"/>
      <c r="IH240" s="1708"/>
      <c r="II240" s="1708"/>
      <c r="IJ240" s="1708"/>
      <c r="IK240" s="1708"/>
      <c r="IL240" s="1708"/>
      <c r="IM240" s="1708"/>
      <c r="IN240" s="1708"/>
      <c r="IO240" s="1708"/>
      <c r="IP240" s="1708"/>
      <c r="IQ240" s="1708"/>
      <c r="IR240" s="1708"/>
      <c r="IS240" s="1708"/>
      <c r="IT240" s="1708"/>
      <c r="IU240" s="1708"/>
      <c r="IV240" s="1708"/>
    </row>
    <row r="241" spans="2:256" s="57" customFormat="1" x14ac:dyDescent="0.25">
      <c r="B241" s="1836"/>
      <c r="G241" s="1849"/>
      <c r="J241" s="1850"/>
      <c r="K241" s="1850"/>
      <c r="S241" s="1708"/>
      <c r="T241" s="1708"/>
      <c r="U241" s="1708"/>
      <c r="V241" s="1708"/>
      <c r="W241" s="1708"/>
      <c r="X241" s="1708"/>
      <c r="Y241" s="1708"/>
      <c r="Z241" s="1708"/>
      <c r="AA241" s="1708"/>
      <c r="AB241" s="1708"/>
      <c r="AC241" s="1708"/>
      <c r="AD241" s="1708"/>
      <c r="AE241" s="1708"/>
      <c r="AF241" s="1708"/>
      <c r="AG241" s="1708"/>
      <c r="AH241" s="1708"/>
      <c r="AI241" s="1708"/>
      <c r="AJ241" s="1708"/>
      <c r="AK241" s="1708"/>
      <c r="AL241" s="1708"/>
      <c r="AM241" s="1708"/>
      <c r="AN241" s="1708"/>
      <c r="AO241" s="1708"/>
      <c r="AP241" s="1708"/>
      <c r="AQ241" s="1708"/>
      <c r="AR241" s="1708"/>
      <c r="AS241" s="1708"/>
      <c r="AT241" s="1708"/>
      <c r="AU241" s="1708"/>
      <c r="AV241" s="1708"/>
      <c r="AW241" s="1708"/>
      <c r="AX241" s="1708"/>
      <c r="AY241" s="1708"/>
      <c r="AZ241" s="1708"/>
      <c r="BA241" s="1708"/>
      <c r="BB241" s="1708"/>
      <c r="BC241" s="1708"/>
      <c r="BD241" s="1708"/>
      <c r="BE241" s="1708"/>
      <c r="BF241" s="1708"/>
      <c r="BG241" s="1708"/>
      <c r="BH241" s="1708"/>
      <c r="BI241" s="1708"/>
      <c r="BJ241" s="1708"/>
      <c r="BK241" s="1708"/>
      <c r="BL241" s="1708"/>
      <c r="BM241" s="1708"/>
      <c r="BN241" s="1708"/>
      <c r="BO241" s="1708"/>
      <c r="BP241" s="1708"/>
      <c r="BQ241" s="1708"/>
      <c r="BR241" s="1708"/>
      <c r="BS241" s="1708"/>
      <c r="BT241" s="1708"/>
      <c r="BU241" s="1708"/>
      <c r="BV241" s="1708"/>
      <c r="BW241" s="1708"/>
      <c r="BX241" s="1708"/>
      <c r="BY241" s="1708"/>
      <c r="BZ241" s="1708"/>
      <c r="CA241" s="1708"/>
      <c r="CB241" s="1708"/>
      <c r="CC241" s="1708"/>
      <c r="CD241" s="1708"/>
      <c r="CE241" s="1708"/>
      <c r="CF241" s="1708"/>
      <c r="CG241" s="1708"/>
      <c r="CH241" s="1708"/>
      <c r="CI241" s="1708"/>
      <c r="CJ241" s="1708"/>
      <c r="CK241" s="1708"/>
      <c r="CL241" s="1708"/>
      <c r="CM241" s="1708"/>
      <c r="CN241" s="1708"/>
      <c r="CO241" s="1708"/>
      <c r="CP241" s="1708"/>
      <c r="CQ241" s="1708"/>
      <c r="CR241" s="1708"/>
      <c r="CS241" s="1708"/>
      <c r="CT241" s="1708"/>
      <c r="CU241" s="1708"/>
      <c r="CV241" s="1708"/>
      <c r="CW241" s="1708"/>
      <c r="CX241" s="1708"/>
      <c r="CY241" s="1708"/>
      <c r="CZ241" s="1708"/>
      <c r="DA241" s="1708"/>
      <c r="DB241" s="1708"/>
      <c r="DC241" s="1708"/>
      <c r="DD241" s="1708"/>
      <c r="DE241" s="1708"/>
      <c r="DF241" s="1708"/>
      <c r="DG241" s="1708"/>
      <c r="DH241" s="1708"/>
      <c r="DI241" s="1708"/>
      <c r="DJ241" s="1708"/>
      <c r="DK241" s="1708"/>
      <c r="DL241" s="1708"/>
      <c r="DM241" s="1708"/>
      <c r="DN241" s="1708"/>
      <c r="DO241" s="1708"/>
      <c r="DP241" s="1708"/>
      <c r="DQ241" s="1708"/>
      <c r="DR241" s="1708"/>
      <c r="DS241" s="1708"/>
      <c r="DT241" s="1708"/>
      <c r="DU241" s="1708"/>
      <c r="DV241" s="1708"/>
      <c r="DW241" s="1708"/>
      <c r="DX241" s="1708"/>
      <c r="DY241" s="1708"/>
      <c r="DZ241" s="1708"/>
      <c r="EA241" s="1708"/>
      <c r="EB241" s="1708"/>
      <c r="EC241" s="1708"/>
      <c r="ED241" s="1708"/>
      <c r="EE241" s="1708"/>
      <c r="EF241" s="1708"/>
      <c r="EG241" s="1708"/>
      <c r="EH241" s="1708"/>
      <c r="EI241" s="1708"/>
      <c r="EJ241" s="1708"/>
      <c r="EK241" s="1708"/>
      <c r="EL241" s="1708"/>
      <c r="EM241" s="1708"/>
      <c r="EN241" s="1708"/>
      <c r="EO241" s="1708"/>
      <c r="EP241" s="1708"/>
      <c r="EQ241" s="1708"/>
      <c r="ER241" s="1708"/>
      <c r="ES241" s="1708"/>
      <c r="ET241" s="1708"/>
      <c r="EU241" s="1708"/>
      <c r="EV241" s="1708"/>
      <c r="EW241" s="1708"/>
      <c r="EX241" s="1708"/>
      <c r="EY241" s="1708"/>
      <c r="EZ241" s="1708"/>
      <c r="FA241" s="1708"/>
      <c r="FB241" s="1708"/>
      <c r="FC241" s="1708"/>
      <c r="FD241" s="1708"/>
      <c r="FE241" s="1708"/>
      <c r="FF241" s="1708"/>
      <c r="FG241" s="1708"/>
      <c r="FH241" s="1708"/>
      <c r="FI241" s="1708"/>
      <c r="FJ241" s="1708"/>
      <c r="FK241" s="1708"/>
      <c r="FL241" s="1708"/>
      <c r="FM241" s="1708"/>
      <c r="FN241" s="1708"/>
      <c r="FO241" s="1708"/>
      <c r="FP241" s="1708"/>
      <c r="FQ241" s="1708"/>
      <c r="FR241" s="1708"/>
      <c r="FS241" s="1708"/>
      <c r="FT241" s="1708"/>
      <c r="FU241" s="1708"/>
      <c r="FV241" s="1708"/>
      <c r="FW241" s="1708"/>
      <c r="FX241" s="1708"/>
      <c r="FY241" s="1708"/>
      <c r="FZ241" s="1708"/>
      <c r="GA241" s="1708"/>
      <c r="GB241" s="1708"/>
      <c r="GC241" s="1708"/>
      <c r="GD241" s="1708"/>
      <c r="GE241" s="1708"/>
      <c r="GF241" s="1708"/>
      <c r="GG241" s="1708"/>
      <c r="GH241" s="1708"/>
      <c r="GI241" s="1708"/>
      <c r="GJ241" s="1708"/>
      <c r="GK241" s="1708"/>
      <c r="GL241" s="1708"/>
      <c r="GM241" s="1708"/>
      <c r="GN241" s="1708"/>
      <c r="GO241" s="1708"/>
      <c r="GP241" s="1708"/>
      <c r="GQ241" s="1708"/>
      <c r="GR241" s="1708"/>
      <c r="GS241" s="1708"/>
      <c r="GT241" s="1708"/>
      <c r="GU241" s="1708"/>
      <c r="GV241" s="1708"/>
      <c r="GW241" s="1708"/>
      <c r="GX241" s="1708"/>
      <c r="GY241" s="1708"/>
      <c r="GZ241" s="1708"/>
      <c r="HA241" s="1708"/>
      <c r="HB241" s="1708"/>
      <c r="HC241" s="1708"/>
      <c r="HD241" s="1708"/>
      <c r="HE241" s="1708"/>
      <c r="HF241" s="1708"/>
      <c r="HG241" s="1708"/>
      <c r="HH241" s="1708"/>
      <c r="HI241" s="1708"/>
      <c r="HJ241" s="1708"/>
      <c r="HK241" s="1708"/>
      <c r="HL241" s="1708"/>
      <c r="HM241" s="1708"/>
      <c r="HN241" s="1708"/>
      <c r="HO241" s="1708"/>
      <c r="HP241" s="1708"/>
      <c r="HQ241" s="1708"/>
      <c r="HR241" s="1708"/>
      <c r="HS241" s="1708"/>
      <c r="HT241" s="1708"/>
      <c r="HU241" s="1708"/>
      <c r="HV241" s="1708"/>
      <c r="HW241" s="1708"/>
      <c r="HX241" s="1708"/>
      <c r="HY241" s="1708"/>
      <c r="HZ241" s="1708"/>
      <c r="IA241" s="1708"/>
      <c r="IB241" s="1708"/>
      <c r="IC241" s="1708"/>
      <c r="ID241" s="1708"/>
      <c r="IE241" s="1708"/>
      <c r="IF241" s="1708"/>
      <c r="IG241" s="1708"/>
      <c r="IH241" s="1708"/>
      <c r="II241" s="1708"/>
      <c r="IJ241" s="1708"/>
      <c r="IK241" s="1708"/>
      <c r="IL241" s="1708"/>
      <c r="IM241" s="1708"/>
      <c r="IN241" s="1708"/>
      <c r="IO241" s="1708"/>
      <c r="IP241" s="1708"/>
      <c r="IQ241" s="1708"/>
      <c r="IR241" s="1708"/>
      <c r="IS241" s="1708"/>
      <c r="IT241" s="1708"/>
      <c r="IU241" s="1708"/>
      <c r="IV241" s="1708"/>
    </row>
    <row r="242" spans="2:256" s="57" customFormat="1" x14ac:dyDescent="0.25">
      <c r="B242" s="1836"/>
      <c r="G242" s="1849"/>
      <c r="J242" s="1850"/>
      <c r="K242" s="1850"/>
      <c r="S242" s="1708"/>
      <c r="T242" s="1708"/>
      <c r="U242" s="1708"/>
      <c r="V242" s="1708"/>
      <c r="W242" s="1708"/>
      <c r="X242" s="1708"/>
      <c r="Y242" s="1708"/>
      <c r="Z242" s="1708"/>
      <c r="AA242" s="1708"/>
      <c r="AB242" s="1708"/>
      <c r="AC242" s="1708"/>
      <c r="AD242" s="1708"/>
      <c r="AE242" s="1708"/>
      <c r="AF242" s="1708"/>
      <c r="AG242" s="1708"/>
      <c r="AH242" s="1708"/>
      <c r="AI242" s="1708"/>
      <c r="AJ242" s="1708"/>
      <c r="AK242" s="1708"/>
      <c r="AL242" s="1708"/>
      <c r="AM242" s="1708"/>
      <c r="AN242" s="1708"/>
      <c r="AO242" s="1708"/>
      <c r="AP242" s="1708"/>
      <c r="AQ242" s="1708"/>
      <c r="AR242" s="1708"/>
      <c r="AS242" s="1708"/>
      <c r="AT242" s="1708"/>
      <c r="AU242" s="1708"/>
      <c r="AV242" s="1708"/>
      <c r="AW242" s="1708"/>
      <c r="AX242" s="1708"/>
      <c r="AY242" s="1708"/>
      <c r="AZ242" s="1708"/>
      <c r="BA242" s="1708"/>
      <c r="BB242" s="1708"/>
      <c r="BC242" s="1708"/>
      <c r="BD242" s="1708"/>
      <c r="BE242" s="1708"/>
      <c r="BF242" s="1708"/>
      <c r="BG242" s="1708"/>
      <c r="BH242" s="1708"/>
      <c r="BI242" s="1708"/>
      <c r="BJ242" s="1708"/>
      <c r="BK242" s="1708"/>
      <c r="BL242" s="1708"/>
      <c r="BM242" s="1708"/>
      <c r="BN242" s="1708"/>
      <c r="BO242" s="1708"/>
      <c r="BP242" s="1708"/>
      <c r="BQ242" s="1708"/>
      <c r="BR242" s="1708"/>
      <c r="BS242" s="1708"/>
      <c r="BT242" s="1708"/>
      <c r="BU242" s="1708"/>
      <c r="BV242" s="1708"/>
      <c r="BW242" s="1708"/>
      <c r="BX242" s="1708"/>
      <c r="BY242" s="1708"/>
      <c r="BZ242" s="1708"/>
      <c r="CA242" s="1708"/>
      <c r="CB242" s="1708"/>
      <c r="CC242" s="1708"/>
      <c r="CD242" s="1708"/>
      <c r="CE242" s="1708"/>
      <c r="CF242" s="1708"/>
      <c r="CG242" s="1708"/>
      <c r="CH242" s="1708"/>
      <c r="CI242" s="1708"/>
      <c r="CJ242" s="1708"/>
      <c r="CK242" s="1708"/>
      <c r="CL242" s="1708"/>
      <c r="CM242" s="1708"/>
      <c r="CN242" s="1708"/>
      <c r="CO242" s="1708"/>
      <c r="CP242" s="1708"/>
      <c r="CQ242" s="1708"/>
      <c r="CR242" s="1708"/>
      <c r="CS242" s="1708"/>
      <c r="CT242" s="1708"/>
      <c r="CU242" s="1708"/>
      <c r="CV242" s="1708"/>
      <c r="CW242" s="1708"/>
      <c r="CX242" s="1708"/>
      <c r="CY242" s="1708"/>
      <c r="CZ242" s="1708"/>
      <c r="DA242" s="1708"/>
      <c r="DB242" s="1708"/>
      <c r="DC242" s="1708"/>
      <c r="DD242" s="1708"/>
      <c r="DE242" s="1708"/>
      <c r="DF242" s="1708"/>
      <c r="DG242" s="1708"/>
      <c r="DH242" s="1708"/>
      <c r="DI242" s="1708"/>
      <c r="DJ242" s="1708"/>
      <c r="DK242" s="1708"/>
      <c r="DL242" s="1708"/>
      <c r="DM242" s="1708"/>
      <c r="DN242" s="1708"/>
      <c r="DO242" s="1708"/>
      <c r="DP242" s="1708"/>
      <c r="DQ242" s="1708"/>
      <c r="DR242" s="1708"/>
      <c r="DS242" s="1708"/>
      <c r="DT242" s="1708"/>
      <c r="DU242" s="1708"/>
      <c r="DV242" s="1708"/>
      <c r="DW242" s="1708"/>
      <c r="DX242" s="1708"/>
      <c r="DY242" s="1708"/>
      <c r="DZ242" s="1708"/>
      <c r="EA242" s="1708"/>
      <c r="EB242" s="1708"/>
      <c r="EC242" s="1708"/>
      <c r="ED242" s="1708"/>
      <c r="EE242" s="1708"/>
      <c r="EF242" s="1708"/>
      <c r="EG242" s="1708"/>
      <c r="EH242" s="1708"/>
      <c r="EI242" s="1708"/>
      <c r="EJ242" s="1708"/>
      <c r="EK242" s="1708"/>
      <c r="EL242" s="1708"/>
      <c r="EM242" s="1708"/>
      <c r="EN242" s="1708"/>
      <c r="EO242" s="1708"/>
      <c r="EP242" s="1708"/>
      <c r="EQ242" s="1708"/>
      <c r="ER242" s="1708"/>
      <c r="ES242" s="1708"/>
      <c r="ET242" s="1708"/>
      <c r="EU242" s="1708"/>
      <c r="EV242" s="1708"/>
      <c r="EW242" s="1708"/>
      <c r="EX242" s="1708"/>
      <c r="EY242" s="1708"/>
      <c r="EZ242" s="1708"/>
      <c r="FA242" s="1708"/>
      <c r="FB242" s="1708"/>
      <c r="FC242" s="1708"/>
      <c r="FD242" s="1708"/>
      <c r="FE242" s="1708"/>
      <c r="FF242" s="1708"/>
      <c r="FG242" s="1708"/>
      <c r="FH242" s="1708"/>
      <c r="FI242" s="1708"/>
      <c r="FJ242" s="1708"/>
      <c r="FK242" s="1708"/>
      <c r="FL242" s="1708"/>
      <c r="FM242" s="1708"/>
      <c r="FN242" s="1708"/>
      <c r="FO242" s="1708"/>
      <c r="FP242" s="1708"/>
      <c r="FQ242" s="1708"/>
      <c r="FR242" s="1708"/>
      <c r="FS242" s="1708"/>
      <c r="FT242" s="1708"/>
      <c r="FU242" s="1708"/>
      <c r="FV242" s="1708"/>
      <c r="FW242" s="1708"/>
      <c r="FX242" s="1708"/>
      <c r="FY242" s="1708"/>
      <c r="FZ242" s="1708"/>
      <c r="GA242" s="1708"/>
      <c r="GB242" s="1708"/>
      <c r="GC242" s="1708"/>
      <c r="GD242" s="1708"/>
      <c r="GE242" s="1708"/>
      <c r="GF242" s="1708"/>
      <c r="GG242" s="1708"/>
      <c r="GH242" s="1708"/>
      <c r="GI242" s="1708"/>
      <c r="GJ242" s="1708"/>
      <c r="GK242" s="1708"/>
      <c r="GL242" s="1708"/>
      <c r="GM242" s="1708"/>
      <c r="GN242" s="1708"/>
      <c r="GO242" s="1708"/>
      <c r="GP242" s="1708"/>
      <c r="GQ242" s="1708"/>
      <c r="GR242" s="1708"/>
      <c r="GS242" s="1708"/>
      <c r="GT242" s="1708"/>
      <c r="GU242" s="1708"/>
      <c r="GV242" s="1708"/>
      <c r="GW242" s="1708"/>
      <c r="GX242" s="1708"/>
      <c r="GY242" s="1708"/>
      <c r="GZ242" s="1708"/>
      <c r="HA242" s="1708"/>
      <c r="HB242" s="1708"/>
      <c r="HC242" s="1708"/>
      <c r="HD242" s="1708"/>
      <c r="HE242" s="1708"/>
      <c r="HF242" s="1708"/>
      <c r="HG242" s="1708"/>
      <c r="HH242" s="1708"/>
      <c r="HI242" s="1708"/>
      <c r="HJ242" s="1708"/>
      <c r="HK242" s="1708"/>
      <c r="HL242" s="1708"/>
      <c r="HM242" s="1708"/>
      <c r="HN242" s="1708"/>
      <c r="HO242" s="1708"/>
      <c r="HP242" s="1708"/>
      <c r="HQ242" s="1708"/>
      <c r="HR242" s="1708"/>
      <c r="HS242" s="1708"/>
      <c r="HT242" s="1708"/>
      <c r="HU242" s="1708"/>
      <c r="HV242" s="1708"/>
      <c r="HW242" s="1708"/>
      <c r="HX242" s="1708"/>
      <c r="HY242" s="1708"/>
      <c r="HZ242" s="1708"/>
      <c r="IA242" s="1708"/>
      <c r="IB242" s="1708"/>
      <c r="IC242" s="1708"/>
      <c r="ID242" s="1708"/>
      <c r="IE242" s="1708"/>
      <c r="IF242" s="1708"/>
      <c r="IG242" s="1708"/>
      <c r="IH242" s="1708"/>
      <c r="II242" s="1708"/>
      <c r="IJ242" s="1708"/>
      <c r="IK242" s="1708"/>
      <c r="IL242" s="1708"/>
      <c r="IM242" s="1708"/>
      <c r="IN242" s="1708"/>
      <c r="IO242" s="1708"/>
      <c r="IP242" s="1708"/>
      <c r="IQ242" s="1708"/>
      <c r="IR242" s="1708"/>
      <c r="IS242" s="1708"/>
      <c r="IT242" s="1708"/>
      <c r="IU242" s="1708"/>
      <c r="IV242" s="1708"/>
    </row>
    <row r="243" spans="2:256" s="57" customFormat="1" x14ac:dyDescent="0.25">
      <c r="B243" s="1836"/>
      <c r="G243" s="1849"/>
      <c r="J243" s="1850"/>
      <c r="K243" s="1850"/>
      <c r="S243" s="1708"/>
      <c r="T243" s="1708"/>
      <c r="U243" s="1708"/>
      <c r="V243" s="1708"/>
      <c r="W243" s="1708"/>
      <c r="X243" s="1708"/>
      <c r="Y243" s="1708"/>
      <c r="Z243" s="1708"/>
      <c r="AA243" s="1708"/>
      <c r="AB243" s="1708"/>
      <c r="AC243" s="1708"/>
      <c r="AD243" s="1708"/>
      <c r="AE243" s="1708"/>
      <c r="AF243" s="1708"/>
      <c r="AG243" s="1708"/>
      <c r="AH243" s="1708"/>
      <c r="AI243" s="1708"/>
      <c r="AJ243" s="1708"/>
      <c r="AK243" s="1708"/>
      <c r="AL243" s="1708"/>
      <c r="AM243" s="1708"/>
      <c r="AN243" s="1708"/>
      <c r="AO243" s="1708"/>
      <c r="AP243" s="1708"/>
      <c r="AQ243" s="1708"/>
      <c r="AR243" s="1708"/>
      <c r="AS243" s="1708"/>
      <c r="AT243" s="1708"/>
      <c r="AU243" s="1708"/>
      <c r="AV243" s="1708"/>
      <c r="AW243" s="1708"/>
      <c r="AX243" s="1708"/>
      <c r="AY243" s="1708"/>
      <c r="AZ243" s="1708"/>
      <c r="BA243" s="1708"/>
      <c r="BB243" s="1708"/>
      <c r="BC243" s="1708"/>
      <c r="BD243" s="1708"/>
      <c r="BE243" s="1708"/>
      <c r="BF243" s="1708"/>
      <c r="BG243" s="1708"/>
      <c r="BH243" s="1708"/>
      <c r="BI243" s="1708"/>
      <c r="BJ243" s="1708"/>
      <c r="BK243" s="1708"/>
      <c r="BL243" s="1708"/>
      <c r="BM243" s="1708"/>
      <c r="BN243" s="1708"/>
      <c r="BO243" s="1708"/>
      <c r="BP243" s="1708"/>
      <c r="BQ243" s="1708"/>
      <c r="BR243" s="1708"/>
      <c r="BS243" s="1708"/>
      <c r="BT243" s="1708"/>
      <c r="BU243" s="1708"/>
      <c r="BV243" s="1708"/>
      <c r="BW243" s="1708"/>
      <c r="BX243" s="1708"/>
      <c r="BY243" s="1708"/>
      <c r="BZ243" s="1708"/>
      <c r="CA243" s="1708"/>
      <c r="CB243" s="1708"/>
      <c r="CC243" s="1708"/>
      <c r="CD243" s="1708"/>
      <c r="CE243" s="1708"/>
      <c r="CF243" s="1708"/>
      <c r="CG243" s="1708"/>
      <c r="CH243" s="1708"/>
      <c r="CI243" s="1708"/>
      <c r="CJ243" s="1708"/>
      <c r="CK243" s="1708"/>
      <c r="CL243" s="1708"/>
      <c r="CM243" s="1708"/>
      <c r="CN243" s="1708"/>
      <c r="CO243" s="1708"/>
      <c r="CP243" s="1708"/>
      <c r="CQ243" s="1708"/>
      <c r="CR243" s="1708"/>
      <c r="CS243" s="1708"/>
      <c r="CT243" s="1708"/>
      <c r="CU243" s="1708"/>
      <c r="CV243" s="1708"/>
      <c r="CW243" s="1708"/>
      <c r="CX243" s="1708"/>
      <c r="CY243" s="1708"/>
      <c r="CZ243" s="1708"/>
      <c r="DA243" s="1708"/>
      <c r="DB243" s="1708"/>
      <c r="DC243" s="1708"/>
      <c r="DD243" s="1708"/>
      <c r="DE243" s="1708"/>
      <c r="DF243" s="1708"/>
      <c r="DG243" s="1708"/>
      <c r="DH243" s="1708"/>
      <c r="DI243" s="1708"/>
      <c r="DJ243" s="1708"/>
      <c r="DK243" s="1708"/>
      <c r="DL243" s="1708"/>
      <c r="DM243" s="1708"/>
      <c r="DN243" s="1708"/>
      <c r="DO243" s="1708"/>
      <c r="DP243" s="1708"/>
      <c r="DQ243" s="1708"/>
      <c r="DR243" s="1708"/>
      <c r="DS243" s="1708"/>
      <c r="DT243" s="1708"/>
      <c r="DU243" s="1708"/>
      <c r="DV243" s="1708"/>
      <c r="DW243" s="1708"/>
      <c r="DX243" s="1708"/>
      <c r="DY243" s="1708"/>
      <c r="DZ243" s="1708"/>
      <c r="EA243" s="1708"/>
      <c r="EB243" s="1708"/>
      <c r="EC243" s="1708"/>
      <c r="ED243" s="1708"/>
      <c r="EE243" s="1708"/>
      <c r="EF243" s="1708"/>
      <c r="EG243" s="1708"/>
      <c r="EH243" s="1708"/>
      <c r="EI243" s="1708"/>
      <c r="EJ243" s="1708"/>
      <c r="EK243" s="1708"/>
      <c r="EL243" s="1708"/>
      <c r="EM243" s="1708"/>
      <c r="EN243" s="1708"/>
      <c r="EO243" s="1708"/>
      <c r="EP243" s="1708"/>
      <c r="EQ243" s="1708"/>
      <c r="ER243" s="1708"/>
      <c r="ES243" s="1708"/>
      <c r="ET243" s="1708"/>
      <c r="EU243" s="1708"/>
      <c r="EV243" s="1708"/>
      <c r="EW243" s="1708"/>
      <c r="EX243" s="1708"/>
      <c r="EY243" s="1708"/>
      <c r="EZ243" s="1708"/>
      <c r="FA243" s="1708"/>
      <c r="FB243" s="1708"/>
      <c r="FC243" s="1708"/>
      <c r="FD243" s="1708"/>
      <c r="FE243" s="1708"/>
      <c r="FF243" s="1708"/>
      <c r="FG243" s="1708"/>
      <c r="FH243" s="1708"/>
      <c r="FI243" s="1708"/>
      <c r="FJ243" s="1708"/>
      <c r="FK243" s="1708"/>
      <c r="FL243" s="1708"/>
      <c r="FM243" s="1708"/>
      <c r="FN243" s="1708"/>
      <c r="FO243" s="1708"/>
      <c r="FP243" s="1708"/>
      <c r="FQ243" s="1708"/>
      <c r="FR243" s="1708"/>
      <c r="FS243" s="1708"/>
      <c r="FT243" s="1708"/>
      <c r="FU243" s="1708"/>
      <c r="FV243" s="1708"/>
      <c r="FW243" s="1708"/>
      <c r="FX243" s="1708"/>
      <c r="FY243" s="1708"/>
      <c r="FZ243" s="1708"/>
      <c r="GA243" s="1708"/>
      <c r="GB243" s="1708"/>
      <c r="GC243" s="1708"/>
      <c r="GD243" s="1708"/>
      <c r="GE243" s="1708"/>
      <c r="GF243" s="1708"/>
      <c r="GG243" s="1708"/>
      <c r="GH243" s="1708"/>
      <c r="GI243" s="1708"/>
      <c r="GJ243" s="1708"/>
      <c r="GK243" s="1708"/>
      <c r="GL243" s="1708"/>
      <c r="GM243" s="1708"/>
      <c r="GN243" s="1708"/>
      <c r="GO243" s="1708"/>
      <c r="GP243" s="1708"/>
      <c r="GQ243" s="1708"/>
      <c r="GR243" s="1708"/>
      <c r="GS243" s="1708"/>
      <c r="GT243" s="1708"/>
      <c r="GU243" s="1708"/>
      <c r="GV243" s="1708"/>
      <c r="GW243" s="1708"/>
      <c r="GX243" s="1708"/>
      <c r="GY243" s="1708"/>
      <c r="GZ243" s="1708"/>
      <c r="HA243" s="1708"/>
      <c r="HB243" s="1708"/>
      <c r="HC243" s="1708"/>
      <c r="HD243" s="1708"/>
      <c r="HE243" s="1708"/>
      <c r="HF243" s="1708"/>
      <c r="HG243" s="1708"/>
      <c r="HH243" s="1708"/>
      <c r="HI243" s="1708"/>
      <c r="HJ243" s="1708"/>
      <c r="HK243" s="1708"/>
      <c r="HL243" s="1708"/>
      <c r="HM243" s="1708"/>
      <c r="HN243" s="1708"/>
      <c r="HO243" s="1708"/>
      <c r="HP243" s="1708"/>
      <c r="HQ243" s="1708"/>
      <c r="HR243" s="1708"/>
      <c r="HS243" s="1708"/>
      <c r="HT243" s="1708"/>
      <c r="HU243" s="1708"/>
      <c r="HV243" s="1708"/>
      <c r="HW243" s="1708"/>
      <c r="HX243" s="1708"/>
      <c r="HY243" s="1708"/>
      <c r="HZ243" s="1708"/>
      <c r="IA243" s="1708"/>
      <c r="IB243" s="1708"/>
      <c r="IC243" s="1708"/>
      <c r="ID243" s="1708"/>
      <c r="IE243" s="1708"/>
      <c r="IF243" s="1708"/>
      <c r="IG243" s="1708"/>
      <c r="IH243" s="1708"/>
      <c r="II243" s="1708"/>
      <c r="IJ243" s="1708"/>
      <c r="IK243" s="1708"/>
      <c r="IL243" s="1708"/>
      <c r="IM243" s="1708"/>
      <c r="IN243" s="1708"/>
      <c r="IO243" s="1708"/>
      <c r="IP243" s="1708"/>
      <c r="IQ243" s="1708"/>
      <c r="IR243" s="1708"/>
      <c r="IS243" s="1708"/>
      <c r="IT243" s="1708"/>
      <c r="IU243" s="1708"/>
      <c r="IV243" s="1708"/>
    </row>
    <row r="244" spans="2:256" s="57" customFormat="1" x14ac:dyDescent="0.25">
      <c r="B244" s="1836"/>
      <c r="G244" s="1849"/>
      <c r="J244" s="1850"/>
      <c r="K244" s="1850"/>
      <c r="S244" s="1708"/>
      <c r="T244" s="1708"/>
      <c r="U244" s="1708"/>
      <c r="V244" s="1708"/>
      <c r="W244" s="1708"/>
      <c r="X244" s="1708"/>
      <c r="Y244" s="1708"/>
      <c r="Z244" s="1708"/>
      <c r="AA244" s="1708"/>
      <c r="AB244" s="1708"/>
      <c r="AC244" s="1708"/>
      <c r="AD244" s="1708"/>
      <c r="AE244" s="1708"/>
      <c r="AF244" s="1708"/>
      <c r="AG244" s="1708"/>
      <c r="AH244" s="1708"/>
      <c r="AI244" s="1708"/>
      <c r="AJ244" s="1708"/>
      <c r="AK244" s="1708"/>
      <c r="AL244" s="1708"/>
      <c r="AM244" s="1708"/>
      <c r="AN244" s="1708"/>
      <c r="AO244" s="1708"/>
      <c r="AP244" s="1708"/>
      <c r="AQ244" s="1708"/>
      <c r="AR244" s="1708"/>
      <c r="AS244" s="1708"/>
      <c r="AT244" s="1708"/>
      <c r="AU244" s="1708"/>
      <c r="AV244" s="1708"/>
      <c r="AW244" s="1708"/>
      <c r="AX244" s="1708"/>
      <c r="AY244" s="1708"/>
      <c r="AZ244" s="1708"/>
      <c r="BA244" s="1708"/>
      <c r="BB244" s="1708"/>
      <c r="BC244" s="1708"/>
      <c r="BD244" s="1708"/>
      <c r="BE244" s="1708"/>
      <c r="BF244" s="1708"/>
      <c r="BG244" s="1708"/>
      <c r="BH244" s="1708"/>
      <c r="BI244" s="1708"/>
      <c r="BJ244" s="1708"/>
      <c r="BK244" s="1708"/>
      <c r="BL244" s="1708"/>
      <c r="BM244" s="1708"/>
      <c r="BN244" s="1708"/>
      <c r="BO244" s="1708"/>
      <c r="BP244" s="1708"/>
      <c r="BQ244" s="1708"/>
      <c r="BR244" s="1708"/>
      <c r="BS244" s="1708"/>
      <c r="BT244" s="1708"/>
      <c r="BU244" s="1708"/>
      <c r="BV244" s="1708"/>
      <c r="BW244" s="1708"/>
      <c r="BX244" s="1708"/>
      <c r="BY244" s="1708"/>
      <c r="BZ244" s="1708"/>
      <c r="CA244" s="1708"/>
      <c r="CB244" s="1708"/>
      <c r="CC244" s="1708"/>
      <c r="CD244" s="1708"/>
      <c r="CE244" s="1708"/>
      <c r="CF244" s="1708"/>
      <c r="CG244" s="1708"/>
      <c r="CH244" s="1708"/>
      <c r="CI244" s="1708"/>
      <c r="CJ244" s="1708"/>
      <c r="CK244" s="1708"/>
      <c r="CL244" s="1708"/>
      <c r="CM244" s="1708"/>
      <c r="CN244" s="1708"/>
      <c r="CO244" s="1708"/>
      <c r="CP244" s="1708"/>
      <c r="CQ244" s="1708"/>
      <c r="CR244" s="1708"/>
      <c r="CS244" s="1708"/>
      <c r="CT244" s="1708"/>
      <c r="CU244" s="1708"/>
      <c r="CV244" s="1708"/>
      <c r="CW244" s="1708"/>
      <c r="CX244" s="1708"/>
      <c r="CY244" s="1708"/>
      <c r="CZ244" s="1708"/>
      <c r="DA244" s="1708"/>
      <c r="DB244" s="1708"/>
      <c r="DC244" s="1708"/>
      <c r="DD244" s="1708"/>
      <c r="DE244" s="1708"/>
      <c r="DF244" s="1708"/>
      <c r="DG244" s="1708"/>
      <c r="DH244" s="1708"/>
      <c r="DI244" s="1708"/>
      <c r="DJ244" s="1708"/>
      <c r="DK244" s="1708"/>
      <c r="DL244" s="1708"/>
      <c r="DM244" s="1708"/>
      <c r="DN244" s="1708"/>
      <c r="DO244" s="1708"/>
      <c r="DP244" s="1708"/>
      <c r="DQ244" s="1708"/>
      <c r="DR244" s="1708"/>
      <c r="DS244" s="1708"/>
      <c r="DT244" s="1708"/>
      <c r="DU244" s="1708"/>
      <c r="DV244" s="1708"/>
      <c r="DW244" s="1708"/>
      <c r="DX244" s="1708"/>
      <c r="DY244" s="1708"/>
      <c r="DZ244" s="1708"/>
      <c r="EA244" s="1708"/>
      <c r="EB244" s="1708"/>
      <c r="EC244" s="1708"/>
      <c r="ED244" s="1708"/>
      <c r="EE244" s="1708"/>
      <c r="EF244" s="1708"/>
      <c r="EG244" s="1708"/>
      <c r="EH244" s="1708"/>
      <c r="EI244" s="1708"/>
      <c r="EJ244" s="1708"/>
      <c r="EK244" s="1708"/>
      <c r="EL244" s="1708"/>
      <c r="EM244" s="1708"/>
      <c r="EN244" s="1708"/>
      <c r="EO244" s="1708"/>
      <c r="EP244" s="1708"/>
      <c r="EQ244" s="1708"/>
      <c r="ER244" s="1708"/>
      <c r="ES244" s="1708"/>
      <c r="ET244" s="1708"/>
      <c r="EU244" s="1708"/>
      <c r="EV244" s="1708"/>
      <c r="EW244" s="1708"/>
      <c r="EX244" s="1708"/>
      <c r="EY244" s="1708"/>
      <c r="EZ244" s="1708"/>
      <c r="FA244" s="1708"/>
      <c r="FB244" s="1708"/>
      <c r="FC244" s="1708"/>
      <c r="FD244" s="1708"/>
      <c r="FE244" s="1708"/>
      <c r="FF244" s="1708"/>
      <c r="FG244" s="1708"/>
      <c r="FH244" s="1708"/>
      <c r="FI244" s="1708"/>
      <c r="FJ244" s="1708"/>
      <c r="FK244" s="1708"/>
      <c r="FL244" s="1708"/>
      <c r="FM244" s="1708"/>
      <c r="FN244" s="1708"/>
      <c r="FO244" s="1708"/>
      <c r="FP244" s="1708"/>
      <c r="FQ244" s="1708"/>
      <c r="FR244" s="1708"/>
      <c r="FS244" s="1708"/>
      <c r="FT244" s="1708"/>
      <c r="FU244" s="1708"/>
      <c r="FV244" s="1708"/>
      <c r="FW244" s="1708"/>
      <c r="FX244" s="1708"/>
      <c r="FY244" s="1708"/>
      <c r="FZ244" s="1708"/>
      <c r="GA244" s="1708"/>
      <c r="GB244" s="1708"/>
      <c r="GC244" s="1708"/>
      <c r="GD244" s="1708"/>
      <c r="GE244" s="1708"/>
      <c r="GF244" s="1708"/>
      <c r="GG244" s="1708"/>
      <c r="GH244" s="1708"/>
      <c r="GI244" s="1708"/>
      <c r="GJ244" s="1708"/>
      <c r="GK244" s="1708"/>
      <c r="GL244" s="1708"/>
      <c r="GM244" s="1708"/>
      <c r="GN244" s="1708"/>
      <c r="GO244" s="1708"/>
      <c r="GP244" s="1708"/>
      <c r="GQ244" s="1708"/>
      <c r="GR244" s="1708"/>
      <c r="GS244" s="1708"/>
      <c r="GT244" s="1708"/>
      <c r="GU244" s="1708"/>
      <c r="GV244" s="1708"/>
      <c r="GW244" s="1708"/>
      <c r="GX244" s="1708"/>
      <c r="GY244" s="1708"/>
      <c r="GZ244" s="1708"/>
      <c r="HA244" s="1708"/>
      <c r="HB244" s="1708"/>
      <c r="HC244" s="1708"/>
      <c r="HD244" s="1708"/>
      <c r="HE244" s="1708"/>
      <c r="HF244" s="1708"/>
      <c r="HG244" s="1708"/>
      <c r="HH244" s="1708"/>
      <c r="HI244" s="1708"/>
      <c r="HJ244" s="1708"/>
      <c r="HK244" s="1708"/>
      <c r="HL244" s="1708"/>
      <c r="HM244" s="1708"/>
      <c r="HN244" s="1708"/>
      <c r="HO244" s="1708"/>
      <c r="HP244" s="1708"/>
      <c r="HQ244" s="1708"/>
      <c r="HR244" s="1708"/>
      <c r="HS244" s="1708"/>
      <c r="HT244" s="1708"/>
      <c r="HU244" s="1708"/>
      <c r="HV244" s="1708"/>
      <c r="HW244" s="1708"/>
      <c r="HX244" s="1708"/>
      <c r="HY244" s="1708"/>
      <c r="HZ244" s="1708"/>
      <c r="IA244" s="1708"/>
      <c r="IB244" s="1708"/>
      <c r="IC244" s="1708"/>
      <c r="ID244" s="1708"/>
      <c r="IE244" s="1708"/>
      <c r="IF244" s="1708"/>
      <c r="IG244" s="1708"/>
      <c r="IH244" s="1708"/>
      <c r="II244" s="1708"/>
      <c r="IJ244" s="1708"/>
      <c r="IK244" s="1708"/>
      <c r="IL244" s="1708"/>
      <c r="IM244" s="1708"/>
      <c r="IN244" s="1708"/>
      <c r="IO244" s="1708"/>
      <c r="IP244" s="1708"/>
      <c r="IQ244" s="1708"/>
      <c r="IR244" s="1708"/>
      <c r="IS244" s="1708"/>
      <c r="IT244" s="1708"/>
      <c r="IU244" s="1708"/>
      <c r="IV244" s="1708"/>
    </row>
    <row r="245" spans="2:256" s="57" customFormat="1" x14ac:dyDescent="0.25">
      <c r="B245" s="1836"/>
      <c r="G245" s="1849"/>
      <c r="J245" s="1850"/>
      <c r="K245" s="1850"/>
      <c r="S245" s="1708"/>
      <c r="T245" s="1708"/>
      <c r="U245" s="1708"/>
      <c r="V245" s="1708"/>
      <c r="W245" s="1708"/>
      <c r="X245" s="1708"/>
      <c r="Y245" s="1708"/>
      <c r="Z245" s="1708"/>
      <c r="AA245" s="1708"/>
      <c r="AB245" s="1708"/>
      <c r="AC245" s="1708"/>
      <c r="AD245" s="1708"/>
      <c r="AE245" s="1708"/>
      <c r="AF245" s="1708"/>
      <c r="AG245" s="1708"/>
      <c r="AH245" s="1708"/>
      <c r="AI245" s="1708"/>
      <c r="AJ245" s="1708"/>
      <c r="AK245" s="1708"/>
      <c r="AL245" s="1708"/>
      <c r="AM245" s="1708"/>
      <c r="AN245" s="1708"/>
      <c r="AO245" s="1708"/>
      <c r="AP245" s="1708"/>
      <c r="AQ245" s="1708"/>
      <c r="AR245" s="1708"/>
      <c r="AS245" s="1708"/>
      <c r="AT245" s="1708"/>
      <c r="AU245" s="1708"/>
      <c r="AV245" s="1708"/>
      <c r="AW245" s="1708"/>
      <c r="AX245" s="1708"/>
      <c r="AY245" s="1708"/>
      <c r="AZ245" s="1708"/>
      <c r="BA245" s="1708"/>
      <c r="BB245" s="1708"/>
      <c r="BC245" s="1708"/>
      <c r="BD245" s="1708"/>
      <c r="BE245" s="1708"/>
      <c r="BF245" s="1708"/>
      <c r="BG245" s="1708"/>
      <c r="BH245" s="1708"/>
      <c r="BI245" s="1708"/>
      <c r="BJ245" s="1708"/>
      <c r="BK245" s="1708"/>
      <c r="BL245" s="1708"/>
      <c r="BM245" s="1708"/>
      <c r="BN245" s="1708"/>
      <c r="BO245" s="1708"/>
      <c r="BP245" s="1708"/>
      <c r="BQ245" s="1708"/>
      <c r="BR245" s="1708"/>
      <c r="BS245" s="1708"/>
      <c r="BT245" s="1708"/>
      <c r="BU245" s="1708"/>
      <c r="BV245" s="1708"/>
      <c r="BW245" s="1708"/>
      <c r="BX245" s="1708"/>
      <c r="BY245" s="1708"/>
      <c r="BZ245" s="1708"/>
      <c r="CA245" s="1708"/>
      <c r="CB245" s="1708"/>
      <c r="CC245" s="1708"/>
      <c r="CD245" s="1708"/>
      <c r="CE245" s="1708"/>
      <c r="CF245" s="1708"/>
      <c r="CG245" s="1708"/>
      <c r="CH245" s="1708"/>
      <c r="CI245" s="1708"/>
      <c r="CJ245" s="1708"/>
      <c r="CK245" s="1708"/>
      <c r="CL245" s="1708"/>
      <c r="CM245" s="1708"/>
      <c r="CN245" s="1708"/>
      <c r="CO245" s="1708"/>
      <c r="CP245" s="1708"/>
      <c r="CQ245" s="1708"/>
      <c r="CR245" s="1708"/>
      <c r="CS245" s="1708"/>
      <c r="CT245" s="1708"/>
      <c r="CU245" s="1708"/>
      <c r="CV245" s="1708"/>
      <c r="CW245" s="1708"/>
      <c r="CX245" s="1708"/>
      <c r="CY245" s="1708"/>
      <c r="CZ245" s="1708"/>
      <c r="DA245" s="1708"/>
      <c r="DB245" s="1708"/>
      <c r="DC245" s="1708"/>
      <c r="DD245" s="1708"/>
      <c r="DE245" s="1708"/>
      <c r="DF245" s="1708"/>
      <c r="DG245" s="1708"/>
      <c r="DH245" s="1708"/>
      <c r="DI245" s="1708"/>
      <c r="DJ245" s="1708"/>
      <c r="DK245" s="1708"/>
      <c r="DL245" s="1708"/>
      <c r="DM245" s="1708"/>
      <c r="DN245" s="1708"/>
      <c r="DO245" s="1708"/>
      <c r="DP245" s="1708"/>
      <c r="DQ245" s="1708"/>
      <c r="DR245" s="1708"/>
      <c r="DS245" s="1708"/>
      <c r="DT245" s="1708"/>
      <c r="DU245" s="1708"/>
      <c r="DV245" s="1708"/>
      <c r="DW245" s="1708"/>
      <c r="DX245" s="1708"/>
      <c r="DY245" s="1708"/>
      <c r="DZ245" s="1708"/>
      <c r="EA245" s="1708"/>
      <c r="EB245" s="1708"/>
      <c r="EC245" s="1708"/>
      <c r="ED245" s="1708"/>
      <c r="EE245" s="1708"/>
      <c r="EF245" s="1708"/>
      <c r="EG245" s="1708"/>
      <c r="EH245" s="1708"/>
      <c r="EI245" s="1708"/>
      <c r="EJ245" s="1708"/>
      <c r="EK245" s="1708"/>
      <c r="EL245" s="1708"/>
      <c r="EM245" s="1708"/>
      <c r="EN245" s="1708"/>
      <c r="EO245" s="1708"/>
      <c r="EP245" s="1708"/>
      <c r="EQ245" s="1708"/>
      <c r="ER245" s="1708"/>
      <c r="ES245" s="1708"/>
      <c r="ET245" s="1708"/>
      <c r="EU245" s="1708"/>
      <c r="EV245" s="1708"/>
      <c r="EW245" s="1708"/>
      <c r="EX245" s="1708"/>
      <c r="EY245" s="1708"/>
      <c r="EZ245" s="1708"/>
      <c r="FA245" s="1708"/>
      <c r="FB245" s="1708"/>
      <c r="FC245" s="1708"/>
      <c r="FD245" s="1708"/>
      <c r="FE245" s="1708"/>
      <c r="FF245" s="1708"/>
      <c r="FG245" s="1708"/>
      <c r="FH245" s="1708"/>
      <c r="FI245" s="1708"/>
      <c r="FJ245" s="1708"/>
      <c r="FK245" s="1708"/>
      <c r="FL245" s="1708"/>
      <c r="FM245" s="1708"/>
      <c r="FN245" s="1708"/>
      <c r="FO245" s="1708"/>
      <c r="FP245" s="1708"/>
      <c r="FQ245" s="1708"/>
      <c r="FR245" s="1708"/>
      <c r="FS245" s="1708"/>
      <c r="FT245" s="1708"/>
      <c r="FU245" s="1708"/>
      <c r="FV245" s="1708"/>
      <c r="FW245" s="1708"/>
      <c r="FX245" s="1708"/>
      <c r="FY245" s="1708"/>
      <c r="FZ245" s="1708"/>
      <c r="GA245" s="1708"/>
      <c r="GB245" s="1708"/>
      <c r="GC245" s="1708"/>
      <c r="GD245" s="1708"/>
      <c r="GE245" s="1708"/>
      <c r="GF245" s="1708"/>
      <c r="GG245" s="1708"/>
      <c r="GH245" s="1708"/>
      <c r="GI245" s="1708"/>
      <c r="GJ245" s="1708"/>
      <c r="GK245" s="1708"/>
      <c r="GL245" s="1708"/>
      <c r="GM245" s="1708"/>
      <c r="GN245" s="1708"/>
      <c r="GO245" s="1708"/>
      <c r="GP245" s="1708"/>
      <c r="GQ245" s="1708"/>
      <c r="GR245" s="1708"/>
      <c r="GS245" s="1708"/>
      <c r="GT245" s="1708"/>
      <c r="GU245" s="1708"/>
      <c r="GV245" s="1708"/>
      <c r="GW245" s="1708"/>
      <c r="GX245" s="1708"/>
      <c r="GY245" s="1708"/>
      <c r="GZ245" s="1708"/>
      <c r="HA245" s="1708"/>
      <c r="HB245" s="1708"/>
      <c r="HC245" s="1708"/>
      <c r="HD245" s="1708"/>
      <c r="HE245" s="1708"/>
      <c r="HF245" s="1708"/>
      <c r="HG245" s="1708"/>
      <c r="HH245" s="1708"/>
      <c r="HI245" s="1708"/>
      <c r="HJ245" s="1708"/>
      <c r="HK245" s="1708"/>
      <c r="HL245" s="1708"/>
      <c r="HM245" s="1708"/>
      <c r="HN245" s="1708"/>
      <c r="HO245" s="1708"/>
      <c r="HP245" s="1708"/>
      <c r="HQ245" s="1708"/>
      <c r="HR245" s="1708"/>
      <c r="HS245" s="1708"/>
      <c r="HT245" s="1708"/>
      <c r="HU245" s="1708"/>
      <c r="HV245" s="1708"/>
      <c r="HW245" s="1708"/>
      <c r="HX245" s="1708"/>
      <c r="HY245" s="1708"/>
      <c r="HZ245" s="1708"/>
      <c r="IA245" s="1708"/>
      <c r="IB245" s="1708"/>
      <c r="IC245" s="1708"/>
      <c r="ID245" s="1708"/>
      <c r="IE245" s="1708"/>
      <c r="IF245" s="1708"/>
      <c r="IG245" s="1708"/>
      <c r="IH245" s="1708"/>
      <c r="II245" s="1708"/>
      <c r="IJ245" s="1708"/>
      <c r="IK245" s="1708"/>
      <c r="IL245" s="1708"/>
      <c r="IM245" s="1708"/>
      <c r="IN245" s="1708"/>
      <c r="IO245" s="1708"/>
      <c r="IP245" s="1708"/>
      <c r="IQ245" s="1708"/>
      <c r="IR245" s="1708"/>
      <c r="IS245" s="1708"/>
      <c r="IT245" s="1708"/>
      <c r="IU245" s="1708"/>
      <c r="IV245" s="1708"/>
    </row>
    <row r="246" spans="2:256" s="57" customFormat="1" x14ac:dyDescent="0.25">
      <c r="B246" s="1836"/>
      <c r="G246" s="1849"/>
      <c r="J246" s="1850"/>
      <c r="K246" s="1850"/>
      <c r="S246" s="1708"/>
      <c r="T246" s="1708"/>
      <c r="U246" s="1708"/>
      <c r="V246" s="1708"/>
      <c r="W246" s="1708"/>
      <c r="X246" s="1708"/>
      <c r="Y246" s="1708"/>
      <c r="Z246" s="1708"/>
      <c r="AA246" s="1708"/>
      <c r="AB246" s="1708"/>
      <c r="AC246" s="1708"/>
      <c r="AD246" s="1708"/>
      <c r="AE246" s="1708"/>
      <c r="AF246" s="1708"/>
      <c r="AG246" s="1708"/>
      <c r="AH246" s="1708"/>
      <c r="AI246" s="1708"/>
      <c r="AJ246" s="1708"/>
      <c r="AK246" s="1708"/>
      <c r="AL246" s="1708"/>
      <c r="AM246" s="1708"/>
      <c r="AN246" s="1708"/>
      <c r="AO246" s="1708"/>
      <c r="AP246" s="1708"/>
      <c r="AQ246" s="1708"/>
      <c r="AR246" s="1708"/>
      <c r="AS246" s="1708"/>
      <c r="AT246" s="1708"/>
      <c r="AU246" s="1708"/>
      <c r="AV246" s="1708"/>
      <c r="AW246" s="1708"/>
      <c r="AX246" s="1708"/>
      <c r="AY246" s="1708"/>
      <c r="AZ246" s="1708"/>
      <c r="BA246" s="1708"/>
      <c r="BB246" s="1708"/>
      <c r="BC246" s="1708"/>
      <c r="BD246" s="1708"/>
      <c r="BE246" s="1708"/>
      <c r="BF246" s="1708"/>
      <c r="BG246" s="1708"/>
      <c r="BH246" s="1708"/>
      <c r="BI246" s="1708"/>
      <c r="BJ246" s="1708"/>
      <c r="BK246" s="1708"/>
      <c r="BL246" s="1708"/>
      <c r="BM246" s="1708"/>
      <c r="BN246" s="1708"/>
      <c r="BO246" s="1708"/>
      <c r="BP246" s="1708"/>
      <c r="BQ246" s="1708"/>
      <c r="BR246" s="1708"/>
      <c r="BS246" s="1708"/>
      <c r="BT246" s="1708"/>
      <c r="BU246" s="1708"/>
      <c r="BV246" s="1708"/>
      <c r="BW246" s="1708"/>
      <c r="BX246" s="1708"/>
      <c r="BY246" s="1708"/>
      <c r="BZ246" s="1708"/>
      <c r="CA246" s="1708"/>
      <c r="CB246" s="1708"/>
      <c r="CC246" s="1708"/>
      <c r="CD246" s="1708"/>
      <c r="CE246" s="1708"/>
      <c r="CF246" s="1708"/>
      <c r="CG246" s="1708"/>
      <c r="CH246" s="1708"/>
      <c r="CI246" s="1708"/>
      <c r="CJ246" s="1708"/>
      <c r="CK246" s="1708"/>
      <c r="CL246" s="1708"/>
      <c r="CM246" s="1708"/>
      <c r="CN246" s="1708"/>
      <c r="CO246" s="1708"/>
      <c r="CP246" s="1708"/>
      <c r="CQ246" s="1708"/>
      <c r="CR246" s="1708"/>
      <c r="CS246" s="1708"/>
      <c r="CT246" s="1708"/>
      <c r="CU246" s="1708"/>
      <c r="CV246" s="1708"/>
      <c r="CW246" s="1708"/>
      <c r="CX246" s="1708"/>
      <c r="CY246" s="1708"/>
      <c r="CZ246" s="1708"/>
      <c r="DA246" s="1708"/>
      <c r="DB246" s="1708"/>
      <c r="DC246" s="1708"/>
      <c r="DD246" s="1708"/>
      <c r="DE246" s="1708"/>
      <c r="DF246" s="1708"/>
      <c r="DG246" s="1708"/>
      <c r="DH246" s="1708"/>
      <c r="DI246" s="1708"/>
      <c r="DJ246" s="1708"/>
      <c r="DK246" s="1708"/>
      <c r="DL246" s="1708"/>
      <c r="DM246" s="1708"/>
      <c r="DN246" s="1708"/>
      <c r="DO246" s="1708"/>
      <c r="DP246" s="1708"/>
      <c r="DQ246" s="1708"/>
      <c r="DR246" s="1708"/>
      <c r="DS246" s="1708"/>
      <c r="DT246" s="1708"/>
      <c r="DU246" s="1708"/>
      <c r="DV246" s="1708"/>
      <c r="DW246" s="1708"/>
      <c r="DX246" s="1708"/>
      <c r="DY246" s="1708"/>
      <c r="DZ246" s="1708"/>
      <c r="EA246" s="1708"/>
      <c r="EB246" s="1708"/>
      <c r="EC246" s="1708"/>
      <c r="ED246" s="1708"/>
      <c r="EE246" s="1708"/>
      <c r="EF246" s="1708"/>
      <c r="EG246" s="1708"/>
      <c r="EH246" s="1708"/>
      <c r="EI246" s="1708"/>
      <c r="EJ246" s="1708"/>
      <c r="EK246" s="1708"/>
      <c r="EL246" s="1708"/>
      <c r="EM246" s="1708"/>
      <c r="EN246" s="1708"/>
      <c r="EO246" s="1708"/>
      <c r="EP246" s="1708"/>
      <c r="EQ246" s="1708"/>
      <c r="ER246" s="1708"/>
      <c r="ES246" s="1708"/>
      <c r="ET246" s="1708"/>
      <c r="EU246" s="1708"/>
      <c r="EV246" s="1708"/>
      <c r="EW246" s="1708"/>
      <c r="EX246" s="1708"/>
      <c r="EY246" s="1708"/>
      <c r="EZ246" s="1708"/>
      <c r="FA246" s="1708"/>
      <c r="FB246" s="1708"/>
      <c r="FC246" s="1708"/>
      <c r="FD246" s="1708"/>
      <c r="FE246" s="1708"/>
      <c r="FF246" s="1708"/>
      <c r="FG246" s="1708"/>
      <c r="FH246" s="1708"/>
      <c r="FI246" s="1708"/>
      <c r="FJ246" s="1708"/>
      <c r="FK246" s="1708"/>
      <c r="FL246" s="1708"/>
      <c r="FM246" s="1708"/>
      <c r="FN246" s="1708"/>
      <c r="FO246" s="1708"/>
      <c r="FP246" s="1708"/>
      <c r="FQ246" s="1708"/>
      <c r="FR246" s="1708"/>
      <c r="FS246" s="1708"/>
      <c r="FT246" s="1708"/>
      <c r="FU246" s="1708"/>
      <c r="FV246" s="1708"/>
      <c r="FW246" s="1708"/>
      <c r="FX246" s="1708"/>
      <c r="FY246" s="1708"/>
      <c r="FZ246" s="1708"/>
      <c r="GA246" s="1708"/>
      <c r="GB246" s="1708"/>
      <c r="GC246" s="1708"/>
      <c r="GD246" s="1708"/>
      <c r="GE246" s="1708"/>
      <c r="GF246" s="1708"/>
      <c r="GG246" s="1708"/>
      <c r="GH246" s="1708"/>
      <c r="GI246" s="1708"/>
      <c r="GJ246" s="1708"/>
      <c r="GK246" s="1708"/>
      <c r="GL246" s="1708"/>
      <c r="GM246" s="1708"/>
      <c r="GN246" s="1708"/>
      <c r="GO246" s="1708"/>
      <c r="GP246" s="1708"/>
      <c r="GQ246" s="1708"/>
      <c r="GR246" s="1708"/>
      <c r="GS246" s="1708"/>
      <c r="GT246" s="1708"/>
      <c r="GU246" s="1708"/>
      <c r="GV246" s="1708"/>
      <c r="GW246" s="1708"/>
      <c r="GX246" s="1708"/>
      <c r="GY246" s="1708"/>
      <c r="GZ246" s="1708"/>
      <c r="HA246" s="1708"/>
      <c r="HB246" s="1708"/>
      <c r="HC246" s="1708"/>
      <c r="HD246" s="1708"/>
      <c r="HE246" s="1708"/>
      <c r="HF246" s="1708"/>
      <c r="HG246" s="1708"/>
      <c r="HH246" s="1708"/>
      <c r="HI246" s="1708"/>
      <c r="HJ246" s="1708"/>
      <c r="HK246" s="1708"/>
      <c r="HL246" s="1708"/>
      <c r="HM246" s="1708"/>
      <c r="HN246" s="1708"/>
      <c r="HO246" s="1708"/>
      <c r="HP246" s="1708"/>
      <c r="HQ246" s="1708"/>
      <c r="HR246" s="1708"/>
      <c r="HS246" s="1708"/>
      <c r="HT246" s="1708"/>
      <c r="HU246" s="1708"/>
      <c r="HV246" s="1708"/>
      <c r="HW246" s="1708"/>
      <c r="HX246" s="1708"/>
      <c r="HY246" s="1708"/>
      <c r="HZ246" s="1708"/>
      <c r="IA246" s="1708"/>
      <c r="IB246" s="1708"/>
      <c r="IC246" s="1708"/>
      <c r="ID246" s="1708"/>
      <c r="IE246" s="1708"/>
      <c r="IF246" s="1708"/>
      <c r="IG246" s="1708"/>
      <c r="IH246" s="1708"/>
      <c r="II246" s="1708"/>
      <c r="IJ246" s="1708"/>
      <c r="IK246" s="1708"/>
      <c r="IL246" s="1708"/>
      <c r="IM246" s="1708"/>
      <c r="IN246" s="1708"/>
      <c r="IO246" s="1708"/>
      <c r="IP246" s="1708"/>
      <c r="IQ246" s="1708"/>
      <c r="IR246" s="1708"/>
      <c r="IS246" s="1708"/>
      <c r="IT246" s="1708"/>
      <c r="IU246" s="1708"/>
      <c r="IV246" s="1708"/>
    </row>
    <row r="247" spans="2:256" s="57" customFormat="1" x14ac:dyDescent="0.25">
      <c r="B247" s="1836"/>
      <c r="G247" s="1849"/>
      <c r="J247" s="1850"/>
      <c r="K247" s="1850"/>
      <c r="S247" s="1708"/>
      <c r="T247" s="1708"/>
      <c r="U247" s="1708"/>
      <c r="V247" s="1708"/>
      <c r="W247" s="1708"/>
      <c r="X247" s="1708"/>
      <c r="Y247" s="1708"/>
      <c r="Z247" s="1708"/>
      <c r="AA247" s="1708"/>
      <c r="AB247" s="1708"/>
      <c r="AC247" s="1708"/>
      <c r="AD247" s="1708"/>
      <c r="AE247" s="1708"/>
      <c r="AF247" s="1708"/>
      <c r="AG247" s="1708"/>
      <c r="AH247" s="1708"/>
      <c r="AI247" s="1708"/>
      <c r="AJ247" s="1708"/>
      <c r="AK247" s="1708"/>
      <c r="AL247" s="1708"/>
      <c r="AM247" s="1708"/>
      <c r="AN247" s="1708"/>
      <c r="AO247" s="1708"/>
      <c r="AP247" s="1708"/>
      <c r="AQ247" s="1708"/>
      <c r="AR247" s="1708"/>
      <c r="AS247" s="1708"/>
      <c r="AT247" s="1708"/>
      <c r="AU247" s="1708"/>
      <c r="AV247" s="1708"/>
      <c r="AW247" s="1708"/>
      <c r="AX247" s="1708"/>
      <c r="AY247" s="1708"/>
      <c r="AZ247" s="1708"/>
      <c r="BA247" s="1708"/>
      <c r="BB247" s="1708"/>
      <c r="BC247" s="1708"/>
      <c r="BD247" s="1708"/>
      <c r="BE247" s="1708"/>
      <c r="BF247" s="1708"/>
      <c r="BG247" s="1708"/>
      <c r="BH247" s="1708"/>
      <c r="BI247" s="1708"/>
      <c r="BJ247" s="1708"/>
      <c r="BK247" s="1708"/>
      <c r="BL247" s="1708"/>
      <c r="BM247" s="1708"/>
      <c r="BN247" s="1708"/>
      <c r="BO247" s="1708"/>
      <c r="BP247" s="1708"/>
      <c r="BQ247" s="1708"/>
      <c r="BR247" s="1708"/>
      <c r="BS247" s="1708"/>
      <c r="BT247" s="1708"/>
      <c r="BU247" s="1708"/>
      <c r="BV247" s="1708"/>
      <c r="BW247" s="1708"/>
      <c r="BX247" s="1708"/>
      <c r="BY247" s="1708"/>
      <c r="BZ247" s="1708"/>
      <c r="CA247" s="1708"/>
      <c r="CB247" s="1708"/>
      <c r="CC247" s="1708"/>
      <c r="CD247" s="1708"/>
      <c r="CE247" s="1708"/>
      <c r="CF247" s="1708"/>
      <c r="CG247" s="1708"/>
      <c r="CH247" s="1708"/>
      <c r="CI247" s="1708"/>
      <c r="CJ247" s="1708"/>
      <c r="CK247" s="1708"/>
      <c r="CL247" s="1708"/>
      <c r="CM247" s="1708"/>
      <c r="CN247" s="1708"/>
      <c r="CO247" s="1708"/>
      <c r="CP247" s="1708"/>
      <c r="CQ247" s="1708"/>
      <c r="CR247" s="1708"/>
      <c r="CS247" s="1708"/>
      <c r="CT247" s="1708"/>
      <c r="CU247" s="1708"/>
      <c r="CV247" s="1708"/>
      <c r="CW247" s="1708"/>
      <c r="CX247" s="1708"/>
      <c r="CY247" s="1708"/>
      <c r="CZ247" s="1708"/>
      <c r="DA247" s="1708"/>
      <c r="DB247" s="1708"/>
      <c r="DC247" s="1708"/>
      <c r="DD247" s="1708"/>
      <c r="DE247" s="1708"/>
      <c r="DF247" s="1708"/>
      <c r="DG247" s="1708"/>
      <c r="DH247" s="1708"/>
      <c r="DI247" s="1708"/>
      <c r="DJ247" s="1708"/>
      <c r="DK247" s="1708"/>
      <c r="DL247" s="1708"/>
      <c r="DM247" s="1708"/>
      <c r="DN247" s="1708"/>
      <c r="DO247" s="1708"/>
      <c r="DP247" s="1708"/>
      <c r="DQ247" s="1708"/>
      <c r="DR247" s="1708"/>
      <c r="DS247" s="1708"/>
      <c r="DT247" s="1708"/>
      <c r="DU247" s="1708"/>
      <c r="DV247" s="1708"/>
      <c r="DW247" s="1708"/>
      <c r="DX247" s="1708"/>
      <c r="DY247" s="1708"/>
      <c r="DZ247" s="1708"/>
      <c r="EA247" s="1708"/>
      <c r="EB247" s="1708"/>
      <c r="EC247" s="1708"/>
      <c r="ED247" s="1708"/>
      <c r="EE247" s="1708"/>
      <c r="EF247" s="1708"/>
      <c r="EG247" s="1708"/>
      <c r="EH247" s="1708"/>
      <c r="EI247" s="1708"/>
      <c r="EJ247" s="1708"/>
      <c r="EK247" s="1708"/>
      <c r="EL247" s="1708"/>
      <c r="EM247" s="1708"/>
      <c r="EN247" s="1708"/>
      <c r="EO247" s="1708"/>
      <c r="EP247" s="1708"/>
      <c r="EQ247" s="1708"/>
      <c r="ER247" s="1708"/>
      <c r="ES247" s="1708"/>
      <c r="ET247" s="1708"/>
      <c r="EU247" s="1708"/>
      <c r="EV247" s="1708"/>
      <c r="EW247" s="1708"/>
      <c r="EX247" s="1708"/>
      <c r="EY247" s="1708"/>
      <c r="EZ247" s="1708"/>
      <c r="FA247" s="1708"/>
      <c r="FB247" s="1708"/>
      <c r="FC247" s="1708"/>
      <c r="FD247" s="1708"/>
      <c r="FE247" s="1708"/>
      <c r="FF247" s="1708"/>
      <c r="FG247" s="1708"/>
      <c r="FH247" s="1708"/>
      <c r="FI247" s="1708"/>
      <c r="FJ247" s="1708"/>
      <c r="FK247" s="1708"/>
      <c r="FL247" s="1708"/>
      <c r="FM247" s="1708"/>
      <c r="FN247" s="1708"/>
      <c r="FO247" s="1708"/>
      <c r="FP247" s="1708"/>
      <c r="FQ247" s="1708"/>
      <c r="FR247" s="1708"/>
      <c r="FS247" s="1708"/>
      <c r="FT247" s="1708"/>
      <c r="FU247" s="1708"/>
      <c r="FV247" s="1708"/>
      <c r="FW247" s="1708"/>
      <c r="FX247" s="1708"/>
      <c r="FY247" s="1708"/>
      <c r="FZ247" s="1708"/>
      <c r="GA247" s="1708"/>
      <c r="GB247" s="1708"/>
      <c r="GC247" s="1708"/>
      <c r="GD247" s="1708"/>
      <c r="GE247" s="1708"/>
      <c r="GF247" s="1708"/>
      <c r="GG247" s="1708"/>
      <c r="GH247" s="1708"/>
      <c r="GI247" s="1708"/>
      <c r="GJ247" s="1708"/>
      <c r="GK247" s="1708"/>
      <c r="GL247" s="1708"/>
      <c r="GM247" s="1708"/>
      <c r="GN247" s="1708"/>
      <c r="GO247" s="1708"/>
      <c r="GP247" s="1708"/>
      <c r="GQ247" s="1708"/>
      <c r="GR247" s="1708"/>
      <c r="GS247" s="1708"/>
      <c r="GT247" s="1708"/>
      <c r="GU247" s="1708"/>
      <c r="GV247" s="1708"/>
      <c r="GW247" s="1708"/>
      <c r="GX247" s="1708"/>
      <c r="GY247" s="1708"/>
      <c r="GZ247" s="1708"/>
      <c r="HA247" s="1708"/>
      <c r="HB247" s="1708"/>
      <c r="HC247" s="1708"/>
      <c r="HD247" s="1708"/>
      <c r="HE247" s="1708"/>
      <c r="HF247" s="1708"/>
      <c r="HG247" s="1708"/>
      <c r="HH247" s="1708"/>
      <c r="HI247" s="1708"/>
      <c r="HJ247" s="1708"/>
      <c r="HK247" s="1708"/>
      <c r="HL247" s="1708"/>
      <c r="HM247" s="1708"/>
      <c r="HN247" s="1708"/>
      <c r="HO247" s="1708"/>
      <c r="HP247" s="1708"/>
      <c r="HQ247" s="1708"/>
      <c r="HR247" s="1708"/>
      <c r="HS247" s="1708"/>
      <c r="HT247" s="1708"/>
      <c r="HU247" s="1708"/>
      <c r="HV247" s="1708"/>
      <c r="HW247" s="1708"/>
      <c r="HX247" s="1708"/>
      <c r="HY247" s="1708"/>
      <c r="HZ247" s="1708"/>
      <c r="IA247" s="1708"/>
      <c r="IB247" s="1708"/>
      <c r="IC247" s="1708"/>
      <c r="ID247" s="1708"/>
      <c r="IE247" s="1708"/>
      <c r="IF247" s="1708"/>
      <c r="IG247" s="1708"/>
      <c r="IH247" s="1708"/>
      <c r="II247" s="1708"/>
      <c r="IJ247" s="1708"/>
      <c r="IK247" s="1708"/>
      <c r="IL247" s="1708"/>
      <c r="IM247" s="1708"/>
      <c r="IN247" s="1708"/>
      <c r="IO247" s="1708"/>
      <c r="IP247" s="1708"/>
      <c r="IQ247" s="1708"/>
      <c r="IR247" s="1708"/>
      <c r="IS247" s="1708"/>
      <c r="IT247" s="1708"/>
      <c r="IU247" s="1708"/>
      <c r="IV247" s="1708"/>
    </row>
    <row r="248" spans="2:256" s="57" customFormat="1" x14ac:dyDescent="0.25">
      <c r="B248" s="1836"/>
      <c r="G248" s="1849"/>
      <c r="J248" s="1850"/>
      <c r="K248" s="1850"/>
      <c r="S248" s="1708"/>
      <c r="T248" s="1708"/>
      <c r="U248" s="1708"/>
      <c r="V248" s="1708"/>
      <c r="W248" s="1708"/>
      <c r="X248" s="1708"/>
      <c r="Y248" s="1708"/>
      <c r="Z248" s="1708"/>
      <c r="AA248" s="1708"/>
      <c r="AB248" s="1708"/>
      <c r="AC248" s="1708"/>
      <c r="AD248" s="1708"/>
      <c r="AE248" s="1708"/>
      <c r="AF248" s="1708"/>
      <c r="AG248" s="1708"/>
      <c r="AH248" s="1708"/>
      <c r="AI248" s="1708"/>
      <c r="AJ248" s="1708"/>
      <c r="AK248" s="1708"/>
      <c r="AL248" s="1708"/>
      <c r="AM248" s="1708"/>
      <c r="AN248" s="1708"/>
      <c r="AO248" s="1708"/>
      <c r="AP248" s="1708"/>
      <c r="AQ248" s="1708"/>
      <c r="AR248" s="1708"/>
      <c r="AS248" s="1708"/>
      <c r="AT248" s="1708"/>
      <c r="AU248" s="1708"/>
      <c r="AV248" s="1708"/>
      <c r="AW248" s="1708"/>
      <c r="AX248" s="1708"/>
      <c r="AY248" s="1708"/>
      <c r="AZ248" s="1708"/>
      <c r="BA248" s="1708"/>
      <c r="BB248" s="1708"/>
      <c r="BC248" s="1708"/>
      <c r="BD248" s="1708"/>
      <c r="BE248" s="1708"/>
      <c r="BF248" s="1708"/>
      <c r="BG248" s="1708"/>
      <c r="BH248" s="1708"/>
      <c r="BI248" s="1708"/>
      <c r="BJ248" s="1708"/>
      <c r="BK248" s="1708"/>
      <c r="BL248" s="1708"/>
      <c r="BM248" s="1708"/>
      <c r="BN248" s="1708"/>
      <c r="BO248" s="1708"/>
      <c r="BP248" s="1708"/>
      <c r="BQ248" s="1708"/>
      <c r="BR248" s="1708"/>
      <c r="BS248" s="1708"/>
      <c r="BT248" s="1708"/>
      <c r="BU248" s="1708"/>
      <c r="BV248" s="1708"/>
      <c r="BW248" s="1708"/>
      <c r="BX248" s="1708"/>
      <c r="BY248" s="1708"/>
      <c r="BZ248" s="1708"/>
      <c r="CA248" s="1708"/>
      <c r="CB248" s="1708"/>
      <c r="CC248" s="1708"/>
      <c r="CD248" s="1708"/>
      <c r="CE248" s="1708"/>
      <c r="CF248" s="1708"/>
      <c r="CG248" s="1708"/>
      <c r="CH248" s="1708"/>
      <c r="CI248" s="1708"/>
      <c r="CJ248" s="1708"/>
      <c r="CK248" s="1708"/>
      <c r="CL248" s="1708"/>
      <c r="CM248" s="1708"/>
      <c r="CN248" s="1708"/>
      <c r="CO248" s="1708"/>
      <c r="CP248" s="1708"/>
      <c r="CQ248" s="1708"/>
      <c r="CR248" s="1708"/>
      <c r="CS248" s="1708"/>
      <c r="CT248" s="1708"/>
      <c r="CU248" s="1708"/>
      <c r="CV248" s="1708"/>
      <c r="CW248" s="1708"/>
      <c r="CX248" s="1708"/>
      <c r="CY248" s="1708"/>
      <c r="CZ248" s="1708"/>
      <c r="DA248" s="1708"/>
      <c r="DB248" s="1708"/>
      <c r="DC248" s="1708"/>
      <c r="DD248" s="1708"/>
      <c r="DE248" s="1708"/>
      <c r="DF248" s="1708"/>
      <c r="DG248" s="1708"/>
      <c r="DH248" s="1708"/>
      <c r="DI248" s="1708"/>
      <c r="DJ248" s="1708"/>
      <c r="DK248" s="1708"/>
      <c r="DL248" s="1708"/>
      <c r="DM248" s="1708"/>
      <c r="DN248" s="1708"/>
      <c r="DO248" s="1708"/>
      <c r="DP248" s="1708"/>
      <c r="DQ248" s="1708"/>
      <c r="DR248" s="1708"/>
      <c r="DS248" s="1708"/>
      <c r="DT248" s="1708"/>
      <c r="DU248" s="1708"/>
      <c r="DV248" s="1708"/>
      <c r="DW248" s="1708"/>
      <c r="DX248" s="1708"/>
      <c r="DY248" s="1708"/>
      <c r="DZ248" s="1708"/>
      <c r="EA248" s="1708"/>
      <c r="EB248" s="1708"/>
      <c r="EC248" s="1708"/>
      <c r="ED248" s="1708"/>
      <c r="EE248" s="1708"/>
      <c r="EF248" s="1708"/>
      <c r="EG248" s="1708"/>
      <c r="EH248" s="1708"/>
      <c r="EI248" s="1708"/>
      <c r="EJ248" s="1708"/>
      <c r="EK248" s="1708"/>
      <c r="EL248" s="1708"/>
      <c r="EM248" s="1708"/>
      <c r="EN248" s="1708"/>
      <c r="EO248" s="1708"/>
      <c r="EP248" s="1708"/>
      <c r="EQ248" s="1708"/>
      <c r="ER248" s="1708"/>
      <c r="ES248" s="1708"/>
      <c r="ET248" s="1708"/>
      <c r="EU248" s="1708"/>
      <c r="EV248" s="1708"/>
      <c r="EW248" s="1708"/>
      <c r="EX248" s="1708"/>
      <c r="EY248" s="1708"/>
      <c r="EZ248" s="1708"/>
      <c r="FA248" s="1708"/>
      <c r="FB248" s="1708"/>
      <c r="FC248" s="1708"/>
      <c r="FD248" s="1708"/>
      <c r="FE248" s="1708"/>
      <c r="FF248" s="1708"/>
      <c r="FG248" s="1708"/>
      <c r="FH248" s="1708"/>
      <c r="FI248" s="1708"/>
      <c r="FJ248" s="1708"/>
      <c r="FK248" s="1708"/>
      <c r="FL248" s="1708"/>
      <c r="FM248" s="1708"/>
      <c r="FN248" s="1708"/>
      <c r="FO248" s="1708"/>
      <c r="FP248" s="1708"/>
      <c r="FQ248" s="1708"/>
      <c r="FR248" s="1708"/>
      <c r="FS248" s="1708"/>
      <c r="FT248" s="1708"/>
      <c r="FU248" s="1708"/>
      <c r="FV248" s="1708"/>
      <c r="FW248" s="1708"/>
      <c r="FX248" s="1708"/>
      <c r="FY248" s="1708"/>
      <c r="FZ248" s="1708"/>
      <c r="GA248" s="1708"/>
      <c r="GB248" s="1708"/>
      <c r="GC248" s="1708"/>
      <c r="GD248" s="1708"/>
      <c r="GE248" s="1708"/>
      <c r="GF248" s="1708"/>
      <c r="GG248" s="1708"/>
      <c r="GH248" s="1708"/>
      <c r="GI248" s="1708"/>
      <c r="GJ248" s="1708"/>
      <c r="GK248" s="1708"/>
      <c r="GL248" s="1708"/>
      <c r="GM248" s="1708"/>
      <c r="GN248" s="1708"/>
      <c r="GO248" s="1708"/>
      <c r="GP248" s="1708"/>
      <c r="GQ248" s="1708"/>
      <c r="GR248" s="1708"/>
      <c r="GS248" s="1708"/>
      <c r="GT248" s="1708"/>
      <c r="GU248" s="1708"/>
      <c r="GV248" s="1708"/>
      <c r="GW248" s="1708"/>
      <c r="GX248" s="1708"/>
      <c r="GY248" s="1708"/>
      <c r="GZ248" s="1708"/>
      <c r="HA248" s="1708"/>
      <c r="HB248" s="1708"/>
      <c r="HC248" s="1708"/>
      <c r="HD248" s="1708"/>
      <c r="HE248" s="1708"/>
      <c r="HF248" s="1708"/>
      <c r="HG248" s="1708"/>
      <c r="HH248" s="1708"/>
      <c r="HI248" s="1708"/>
      <c r="HJ248" s="1708"/>
      <c r="HK248" s="1708"/>
      <c r="HL248" s="1708"/>
      <c r="HM248" s="1708"/>
      <c r="HN248" s="1708"/>
      <c r="HO248" s="1708"/>
      <c r="HP248" s="1708"/>
      <c r="HQ248" s="1708"/>
      <c r="HR248" s="1708"/>
      <c r="HS248" s="1708"/>
      <c r="HT248" s="1708"/>
      <c r="HU248" s="1708"/>
      <c r="HV248" s="1708"/>
      <c r="HW248" s="1708"/>
      <c r="HX248" s="1708"/>
      <c r="HY248" s="1708"/>
      <c r="HZ248" s="1708"/>
      <c r="IA248" s="1708"/>
      <c r="IB248" s="1708"/>
      <c r="IC248" s="1708"/>
      <c r="ID248" s="1708"/>
      <c r="IE248" s="1708"/>
      <c r="IF248" s="1708"/>
      <c r="IG248" s="1708"/>
      <c r="IH248" s="1708"/>
      <c r="II248" s="1708"/>
      <c r="IJ248" s="1708"/>
      <c r="IK248" s="1708"/>
      <c r="IL248" s="1708"/>
      <c r="IM248" s="1708"/>
      <c r="IN248" s="1708"/>
      <c r="IO248" s="1708"/>
      <c r="IP248" s="1708"/>
      <c r="IQ248" s="1708"/>
      <c r="IR248" s="1708"/>
      <c r="IS248" s="1708"/>
      <c r="IT248" s="1708"/>
      <c r="IU248" s="1708"/>
      <c r="IV248" s="1708"/>
    </row>
    <row r="249" spans="2:256" s="57" customFormat="1" x14ac:dyDescent="0.25">
      <c r="B249" s="1836"/>
      <c r="G249" s="1849"/>
      <c r="J249" s="1850"/>
      <c r="K249" s="1850"/>
      <c r="S249" s="1708"/>
      <c r="T249" s="1708"/>
      <c r="U249" s="1708"/>
      <c r="V249" s="1708"/>
      <c r="W249" s="1708"/>
      <c r="X249" s="1708"/>
      <c r="Y249" s="1708"/>
      <c r="Z249" s="1708"/>
      <c r="AA249" s="1708"/>
      <c r="AB249" s="1708"/>
      <c r="AC249" s="1708"/>
      <c r="AD249" s="1708"/>
      <c r="AE249" s="1708"/>
      <c r="AF249" s="1708"/>
      <c r="AG249" s="1708"/>
      <c r="AH249" s="1708"/>
      <c r="AI249" s="1708"/>
      <c r="AJ249" s="1708"/>
      <c r="AK249" s="1708"/>
      <c r="AL249" s="1708"/>
      <c r="AM249" s="1708"/>
      <c r="AN249" s="1708"/>
      <c r="AO249" s="1708"/>
      <c r="AP249" s="1708"/>
      <c r="AQ249" s="1708"/>
      <c r="AR249" s="1708"/>
      <c r="AS249" s="1708"/>
      <c r="AT249" s="1708"/>
      <c r="AU249" s="1708"/>
      <c r="AV249" s="1708"/>
      <c r="AW249" s="1708"/>
      <c r="AX249" s="1708"/>
      <c r="AY249" s="1708"/>
      <c r="AZ249" s="1708"/>
      <c r="BA249" s="1708"/>
      <c r="BB249" s="1708"/>
      <c r="BC249" s="1708"/>
      <c r="BD249" s="1708"/>
      <c r="BE249" s="1708"/>
      <c r="BF249" s="1708"/>
      <c r="BG249" s="1708"/>
      <c r="BH249" s="1708"/>
      <c r="BI249" s="1708"/>
      <c r="BJ249" s="1708"/>
      <c r="BK249" s="1708"/>
      <c r="BL249" s="1708"/>
      <c r="BM249" s="1708"/>
      <c r="BN249" s="1708"/>
      <c r="BO249" s="1708"/>
      <c r="BP249" s="1708"/>
      <c r="BQ249" s="1708"/>
      <c r="BR249" s="1708"/>
      <c r="BS249" s="1708"/>
      <c r="BT249" s="1708"/>
      <c r="BU249" s="1708"/>
      <c r="BV249" s="1708"/>
      <c r="BW249" s="1708"/>
      <c r="BX249" s="1708"/>
      <c r="BY249" s="1708"/>
      <c r="BZ249" s="1708"/>
      <c r="CA249" s="1708"/>
      <c r="CB249" s="1708"/>
      <c r="CC249" s="1708"/>
      <c r="CD249" s="1708"/>
      <c r="CE249" s="1708"/>
      <c r="CF249" s="1708"/>
      <c r="CG249" s="1708"/>
      <c r="CH249" s="1708"/>
      <c r="CI249" s="1708"/>
      <c r="CJ249" s="1708"/>
      <c r="CK249" s="1708"/>
      <c r="CL249" s="1708"/>
      <c r="CM249" s="1708"/>
      <c r="CN249" s="1708"/>
      <c r="CO249" s="1708"/>
      <c r="CP249" s="1708"/>
      <c r="CQ249" s="1708"/>
      <c r="CR249" s="1708"/>
      <c r="CS249" s="1708"/>
      <c r="CT249" s="1708"/>
      <c r="CU249" s="1708"/>
      <c r="CV249" s="1708"/>
      <c r="CW249" s="1708"/>
      <c r="CX249" s="1708"/>
      <c r="CY249" s="1708"/>
      <c r="CZ249" s="1708"/>
      <c r="DA249" s="1708"/>
      <c r="DB249" s="1708"/>
      <c r="DC249" s="1708"/>
      <c r="DD249" s="1708"/>
      <c r="DE249" s="1708"/>
      <c r="DF249" s="1708"/>
      <c r="DG249" s="1708"/>
      <c r="DH249" s="1708"/>
      <c r="DI249" s="1708"/>
      <c r="DJ249" s="1708"/>
      <c r="DK249" s="1708"/>
      <c r="DL249" s="1708"/>
      <c r="DM249" s="1708"/>
      <c r="DN249" s="1708"/>
      <c r="DO249" s="1708"/>
      <c r="DP249" s="1708"/>
      <c r="DQ249" s="1708"/>
      <c r="DR249" s="1708"/>
      <c r="DS249" s="1708"/>
      <c r="DT249" s="1708"/>
      <c r="DU249" s="1708"/>
      <c r="DV249" s="1708"/>
      <c r="DW249" s="1708"/>
      <c r="DX249" s="1708"/>
      <c r="DY249" s="1708"/>
      <c r="DZ249" s="1708"/>
      <c r="EA249" s="1708"/>
      <c r="EB249" s="1708"/>
      <c r="EC249" s="1708"/>
      <c r="ED249" s="1708"/>
      <c r="EE249" s="1708"/>
      <c r="EF249" s="1708"/>
      <c r="EG249" s="1708"/>
      <c r="EH249" s="1708"/>
      <c r="EI249" s="1708"/>
      <c r="EJ249" s="1708"/>
      <c r="EK249" s="1708"/>
      <c r="EL249" s="1708"/>
      <c r="EM249" s="1708"/>
      <c r="EN249" s="1708"/>
      <c r="EO249" s="1708"/>
      <c r="EP249" s="1708"/>
      <c r="EQ249" s="1708"/>
      <c r="ER249" s="1708"/>
      <c r="ES249" s="1708"/>
      <c r="ET249" s="1708"/>
      <c r="EU249" s="1708"/>
      <c r="EV249" s="1708"/>
      <c r="EW249" s="1708"/>
      <c r="EX249" s="1708"/>
      <c r="EY249" s="1708"/>
      <c r="EZ249" s="1708"/>
      <c r="FA249" s="1708"/>
      <c r="FB249" s="1708"/>
      <c r="FC249" s="1708"/>
      <c r="FD249" s="1708"/>
      <c r="FE249" s="1708"/>
      <c r="FF249" s="1708"/>
      <c r="FG249" s="1708"/>
      <c r="FH249" s="1708"/>
      <c r="FI249" s="1708"/>
      <c r="FJ249" s="1708"/>
      <c r="FK249" s="1708"/>
      <c r="FL249" s="1708"/>
      <c r="FM249" s="1708"/>
      <c r="FN249" s="1708"/>
      <c r="FO249" s="1708"/>
      <c r="FP249" s="1708"/>
      <c r="FQ249" s="1708"/>
      <c r="FR249" s="1708"/>
      <c r="FS249" s="1708"/>
      <c r="FT249" s="1708"/>
      <c r="FU249" s="1708"/>
      <c r="FV249" s="1708"/>
      <c r="FW249" s="1708"/>
      <c r="FX249" s="1708"/>
      <c r="FY249" s="1708"/>
      <c r="FZ249" s="1708"/>
      <c r="GA249" s="1708"/>
      <c r="GB249" s="1708"/>
      <c r="GC249" s="1708"/>
      <c r="GD249" s="1708"/>
      <c r="GE249" s="1708"/>
      <c r="GF249" s="1708"/>
      <c r="GG249" s="1708"/>
      <c r="GH249" s="1708"/>
      <c r="GI249" s="1708"/>
      <c r="GJ249" s="1708"/>
      <c r="GK249" s="1708"/>
      <c r="GL249" s="1708"/>
      <c r="GM249" s="1708"/>
      <c r="GN249" s="1708"/>
      <c r="GO249" s="1708"/>
      <c r="GP249" s="1708"/>
      <c r="GQ249" s="1708"/>
      <c r="GR249" s="1708"/>
      <c r="GS249" s="1708"/>
      <c r="GT249" s="1708"/>
      <c r="GU249" s="1708"/>
      <c r="GV249" s="1708"/>
      <c r="GW249" s="1708"/>
      <c r="GX249" s="1708"/>
      <c r="GY249" s="1708"/>
      <c r="GZ249" s="1708"/>
      <c r="HA249" s="1708"/>
      <c r="HB249" s="1708"/>
      <c r="HC249" s="1708"/>
      <c r="HD249" s="1708"/>
      <c r="HE249" s="1708"/>
      <c r="HF249" s="1708"/>
      <c r="HG249" s="1708"/>
      <c r="HH249" s="1708"/>
      <c r="HI249" s="1708"/>
      <c r="HJ249" s="1708"/>
      <c r="HK249" s="1708"/>
      <c r="HL249" s="1708"/>
      <c r="HM249" s="1708"/>
      <c r="HN249" s="1708"/>
      <c r="HO249" s="1708"/>
      <c r="HP249" s="1708"/>
      <c r="HQ249" s="1708"/>
      <c r="HR249" s="1708"/>
      <c r="HS249" s="1708"/>
      <c r="HT249" s="1708"/>
      <c r="HU249" s="1708"/>
      <c r="HV249" s="1708"/>
      <c r="HW249" s="1708"/>
      <c r="HX249" s="1708"/>
      <c r="HY249" s="1708"/>
      <c r="HZ249" s="1708"/>
      <c r="IA249" s="1708"/>
      <c r="IB249" s="1708"/>
      <c r="IC249" s="1708"/>
      <c r="ID249" s="1708"/>
      <c r="IE249" s="1708"/>
      <c r="IF249" s="1708"/>
      <c r="IG249" s="1708"/>
      <c r="IH249" s="1708"/>
      <c r="II249" s="1708"/>
      <c r="IJ249" s="1708"/>
      <c r="IK249" s="1708"/>
      <c r="IL249" s="1708"/>
      <c r="IM249" s="1708"/>
      <c r="IN249" s="1708"/>
      <c r="IO249" s="1708"/>
      <c r="IP249" s="1708"/>
      <c r="IQ249" s="1708"/>
      <c r="IR249" s="1708"/>
      <c r="IS249" s="1708"/>
      <c r="IT249" s="1708"/>
      <c r="IU249" s="1708"/>
      <c r="IV249" s="1708"/>
    </row>
    <row r="250" spans="2:256" s="57" customFormat="1" x14ac:dyDescent="0.25">
      <c r="B250" s="1836"/>
      <c r="G250" s="1849"/>
      <c r="J250" s="1850"/>
      <c r="K250" s="1850"/>
      <c r="S250" s="1708"/>
      <c r="T250" s="1708"/>
      <c r="U250" s="1708"/>
      <c r="V250" s="1708"/>
      <c r="W250" s="1708"/>
      <c r="X250" s="1708"/>
      <c r="Y250" s="1708"/>
      <c r="Z250" s="1708"/>
      <c r="AA250" s="1708"/>
      <c r="AB250" s="1708"/>
      <c r="AC250" s="1708"/>
      <c r="AD250" s="1708"/>
      <c r="AE250" s="1708"/>
      <c r="AF250" s="1708"/>
      <c r="AG250" s="1708"/>
      <c r="AH250" s="1708"/>
      <c r="AI250" s="1708"/>
      <c r="AJ250" s="1708"/>
      <c r="AK250" s="1708"/>
      <c r="AL250" s="1708"/>
      <c r="AM250" s="1708"/>
      <c r="AN250" s="1708"/>
      <c r="AO250" s="1708"/>
      <c r="AP250" s="1708"/>
      <c r="AQ250" s="1708"/>
      <c r="AR250" s="1708"/>
      <c r="AS250" s="1708"/>
      <c r="AT250" s="1708"/>
      <c r="AU250" s="1708"/>
      <c r="AV250" s="1708"/>
      <c r="AW250" s="1708"/>
      <c r="AX250" s="1708"/>
      <c r="AY250" s="1708"/>
      <c r="AZ250" s="1708"/>
      <c r="BA250" s="1708"/>
      <c r="BB250" s="1708"/>
      <c r="BC250" s="1708"/>
      <c r="BD250" s="1708"/>
      <c r="BE250" s="1708"/>
      <c r="BF250" s="1708"/>
      <c r="BG250" s="1708"/>
      <c r="BH250" s="1708"/>
      <c r="BI250" s="1708"/>
      <c r="BJ250" s="1708"/>
      <c r="BK250" s="1708"/>
      <c r="BL250" s="1708"/>
      <c r="BM250" s="1708"/>
      <c r="BN250" s="1708"/>
      <c r="BO250" s="1708"/>
      <c r="BP250" s="1708"/>
      <c r="BQ250" s="1708"/>
      <c r="BR250" s="1708"/>
      <c r="BS250" s="1708"/>
      <c r="BT250" s="1708"/>
      <c r="BU250" s="1708"/>
      <c r="BV250" s="1708"/>
      <c r="BW250" s="1708"/>
      <c r="BX250" s="1708"/>
      <c r="BY250" s="1708"/>
      <c r="BZ250" s="1708"/>
      <c r="CA250" s="1708"/>
      <c r="CB250" s="1708"/>
      <c r="CC250" s="1708"/>
      <c r="CD250" s="1708"/>
      <c r="CE250" s="1708"/>
      <c r="CF250" s="1708"/>
      <c r="CG250" s="1708"/>
      <c r="CH250" s="1708"/>
      <c r="CI250" s="1708"/>
      <c r="CJ250" s="1708"/>
      <c r="CK250" s="1708"/>
      <c r="CL250" s="1708"/>
      <c r="CM250" s="1708"/>
      <c r="CN250" s="1708"/>
      <c r="CO250" s="1708"/>
      <c r="CP250" s="1708"/>
      <c r="CQ250" s="1708"/>
      <c r="CR250" s="1708"/>
      <c r="CS250" s="1708"/>
      <c r="CT250" s="1708"/>
      <c r="CU250" s="1708"/>
      <c r="CV250" s="1708"/>
      <c r="CW250" s="1708"/>
      <c r="CX250" s="1708"/>
      <c r="CY250" s="1708"/>
      <c r="CZ250" s="1708"/>
      <c r="DA250" s="1708"/>
      <c r="DB250" s="1708"/>
      <c r="DC250" s="1708"/>
      <c r="DD250" s="1708"/>
      <c r="DE250" s="1708"/>
      <c r="DF250" s="1708"/>
      <c r="DG250" s="1708"/>
      <c r="DH250" s="1708"/>
      <c r="DI250" s="1708"/>
      <c r="DJ250" s="1708"/>
      <c r="DK250" s="1708"/>
      <c r="DL250" s="1708"/>
      <c r="DM250" s="1708"/>
      <c r="DN250" s="1708"/>
      <c r="DO250" s="1708"/>
      <c r="DP250" s="1708"/>
      <c r="DQ250" s="1708"/>
      <c r="DR250" s="1708"/>
      <c r="DS250" s="1708"/>
      <c r="DT250" s="1708"/>
      <c r="DU250" s="1708"/>
      <c r="DV250" s="1708"/>
      <c r="DW250" s="1708"/>
      <c r="DX250" s="1708"/>
      <c r="DY250" s="1708"/>
      <c r="DZ250" s="1708"/>
      <c r="EA250" s="1708"/>
      <c r="EB250" s="1708"/>
      <c r="EC250" s="1708"/>
      <c r="ED250" s="1708"/>
      <c r="EE250" s="1708"/>
      <c r="EF250" s="1708"/>
      <c r="EG250" s="1708"/>
      <c r="EH250" s="1708"/>
      <c r="EI250" s="1708"/>
      <c r="EJ250" s="1708"/>
      <c r="EK250" s="1708"/>
      <c r="EL250" s="1708"/>
      <c r="EM250" s="1708"/>
      <c r="EN250" s="1708"/>
      <c r="EO250" s="1708"/>
      <c r="EP250" s="1708"/>
      <c r="EQ250" s="1708"/>
      <c r="ER250" s="1708"/>
      <c r="ES250" s="1708"/>
      <c r="ET250" s="1708"/>
      <c r="EU250" s="1708"/>
      <c r="EV250" s="1708"/>
      <c r="EW250" s="1708"/>
      <c r="EX250" s="1708"/>
      <c r="EY250" s="1708"/>
      <c r="EZ250" s="1708"/>
      <c r="FA250" s="1708"/>
      <c r="FB250" s="1708"/>
      <c r="FC250" s="1708"/>
      <c r="FD250" s="1708"/>
      <c r="FE250" s="1708"/>
      <c r="FF250" s="1708"/>
      <c r="FG250" s="1708"/>
      <c r="FH250" s="1708"/>
      <c r="FI250" s="1708"/>
      <c r="FJ250" s="1708"/>
      <c r="FK250" s="1708"/>
      <c r="FL250" s="1708"/>
      <c r="FM250" s="1708"/>
      <c r="FN250" s="1708"/>
      <c r="FO250" s="1708"/>
      <c r="FP250" s="1708"/>
      <c r="FQ250" s="1708"/>
      <c r="FR250" s="1708"/>
      <c r="FS250" s="1708"/>
      <c r="FT250" s="1708"/>
      <c r="FU250" s="1708"/>
      <c r="FV250" s="1708"/>
      <c r="FW250" s="1708"/>
      <c r="FX250" s="1708"/>
      <c r="FY250" s="1708"/>
      <c r="FZ250" s="1708"/>
      <c r="GA250" s="1708"/>
      <c r="GB250" s="1708"/>
      <c r="GC250" s="1708"/>
      <c r="GD250" s="1708"/>
      <c r="GE250" s="1708"/>
      <c r="GF250" s="1708"/>
      <c r="GG250" s="1708"/>
      <c r="GH250" s="1708"/>
      <c r="GI250" s="1708"/>
      <c r="GJ250" s="1708"/>
      <c r="GK250" s="1708"/>
      <c r="GL250" s="1708"/>
      <c r="GM250" s="1708"/>
      <c r="GN250" s="1708"/>
      <c r="GO250" s="1708"/>
      <c r="GP250" s="1708"/>
      <c r="GQ250" s="1708"/>
      <c r="GR250" s="1708"/>
      <c r="GS250" s="1708"/>
      <c r="GT250" s="1708"/>
      <c r="GU250" s="1708"/>
      <c r="GV250" s="1708"/>
      <c r="GW250" s="1708"/>
      <c r="GX250" s="1708"/>
      <c r="GY250" s="1708"/>
      <c r="GZ250" s="1708"/>
      <c r="HA250" s="1708"/>
      <c r="HB250" s="1708"/>
      <c r="HC250" s="1708"/>
      <c r="HD250" s="1708"/>
      <c r="HE250" s="1708"/>
      <c r="HF250" s="1708"/>
      <c r="HG250" s="1708"/>
      <c r="HH250" s="1708"/>
      <c r="HI250" s="1708"/>
      <c r="HJ250" s="1708"/>
      <c r="HK250" s="1708"/>
      <c r="HL250" s="1708"/>
      <c r="HM250" s="1708"/>
      <c r="HN250" s="1708"/>
      <c r="HO250" s="1708"/>
      <c r="HP250" s="1708"/>
      <c r="HQ250" s="1708"/>
      <c r="HR250" s="1708"/>
      <c r="HS250" s="1708"/>
      <c r="HT250" s="1708"/>
      <c r="HU250" s="1708"/>
      <c r="HV250" s="1708"/>
      <c r="HW250" s="1708"/>
      <c r="HX250" s="1708"/>
      <c r="HY250" s="1708"/>
      <c r="HZ250" s="1708"/>
      <c r="IA250" s="1708"/>
      <c r="IB250" s="1708"/>
      <c r="IC250" s="1708"/>
      <c r="ID250" s="1708"/>
      <c r="IE250" s="1708"/>
      <c r="IF250" s="1708"/>
      <c r="IG250" s="1708"/>
      <c r="IH250" s="1708"/>
      <c r="II250" s="1708"/>
      <c r="IJ250" s="1708"/>
      <c r="IK250" s="1708"/>
      <c r="IL250" s="1708"/>
      <c r="IM250" s="1708"/>
      <c r="IN250" s="1708"/>
      <c r="IO250" s="1708"/>
      <c r="IP250" s="1708"/>
      <c r="IQ250" s="1708"/>
      <c r="IR250" s="1708"/>
      <c r="IS250" s="1708"/>
      <c r="IT250" s="1708"/>
      <c r="IU250" s="1708"/>
      <c r="IV250" s="1708"/>
    </row>
    <row r="251" spans="2:256" s="57" customFormat="1" x14ac:dyDescent="0.25">
      <c r="B251" s="1836"/>
      <c r="G251" s="1849"/>
      <c r="J251" s="1850"/>
      <c r="K251" s="1850"/>
      <c r="S251" s="1708"/>
      <c r="T251" s="1708"/>
      <c r="U251" s="1708"/>
      <c r="V251" s="1708"/>
      <c r="W251" s="1708"/>
      <c r="X251" s="1708"/>
      <c r="Y251" s="1708"/>
      <c r="Z251" s="1708"/>
      <c r="AA251" s="1708"/>
      <c r="AB251" s="1708"/>
      <c r="AC251" s="1708"/>
      <c r="AD251" s="1708"/>
      <c r="AE251" s="1708"/>
      <c r="AF251" s="1708"/>
      <c r="AG251" s="1708"/>
      <c r="AH251" s="1708"/>
      <c r="AI251" s="1708"/>
      <c r="AJ251" s="1708"/>
      <c r="AK251" s="1708"/>
      <c r="AL251" s="1708"/>
      <c r="AM251" s="1708"/>
      <c r="AN251" s="1708"/>
      <c r="AO251" s="1708"/>
      <c r="AP251" s="1708"/>
      <c r="AQ251" s="1708"/>
      <c r="AR251" s="1708"/>
      <c r="AS251" s="1708"/>
      <c r="AT251" s="1708"/>
      <c r="AU251" s="1708"/>
      <c r="AV251" s="1708"/>
      <c r="AW251" s="1708"/>
      <c r="AX251" s="1708"/>
      <c r="AY251" s="1708"/>
      <c r="AZ251" s="1708"/>
      <c r="BA251" s="1708"/>
      <c r="BB251" s="1708"/>
      <c r="BC251" s="1708"/>
      <c r="BD251" s="1708"/>
      <c r="BE251" s="1708"/>
      <c r="BF251" s="1708"/>
      <c r="BG251" s="1708"/>
      <c r="BH251" s="1708"/>
      <c r="BI251" s="1708"/>
      <c r="BJ251" s="1708"/>
      <c r="BK251" s="1708"/>
      <c r="BL251" s="1708"/>
      <c r="BM251" s="1708"/>
      <c r="BN251" s="1708"/>
      <c r="BO251" s="1708"/>
      <c r="BP251" s="1708"/>
      <c r="BQ251" s="1708"/>
      <c r="BR251" s="1708"/>
      <c r="BS251" s="1708"/>
      <c r="BT251" s="1708"/>
      <c r="BU251" s="1708"/>
      <c r="BV251" s="1708"/>
      <c r="BW251" s="1708"/>
      <c r="BX251" s="1708"/>
      <c r="BY251" s="1708"/>
      <c r="BZ251" s="1708"/>
      <c r="CA251" s="1708"/>
      <c r="CB251" s="1708"/>
      <c r="CC251" s="1708"/>
      <c r="CD251" s="1708"/>
      <c r="CE251" s="1708"/>
      <c r="CF251" s="1708"/>
      <c r="CG251" s="1708"/>
      <c r="CH251" s="1708"/>
      <c r="CI251" s="1708"/>
      <c r="CJ251" s="1708"/>
      <c r="CK251" s="1708"/>
      <c r="CL251" s="1708"/>
      <c r="CM251" s="1708"/>
      <c r="CN251" s="1708"/>
      <c r="CO251" s="1708"/>
      <c r="CP251" s="1708"/>
      <c r="CQ251" s="1708"/>
      <c r="CR251" s="1708"/>
      <c r="CS251" s="1708"/>
      <c r="CT251" s="1708"/>
      <c r="CU251" s="1708"/>
      <c r="CV251" s="1708"/>
      <c r="CW251" s="1708"/>
      <c r="CX251" s="1708"/>
      <c r="CY251" s="1708"/>
      <c r="CZ251" s="1708"/>
      <c r="DA251" s="1708"/>
      <c r="DB251" s="1708"/>
      <c r="DC251" s="1708"/>
      <c r="DD251" s="1708"/>
      <c r="DE251" s="1708"/>
      <c r="DF251" s="1708"/>
      <c r="DG251" s="1708"/>
      <c r="DH251" s="1708"/>
      <c r="DI251" s="1708"/>
      <c r="DJ251" s="1708"/>
      <c r="DK251" s="1708"/>
      <c r="DL251" s="1708"/>
      <c r="DM251" s="1708"/>
      <c r="DN251" s="1708"/>
      <c r="DO251" s="1708"/>
      <c r="DP251" s="1708"/>
      <c r="DQ251" s="1708"/>
      <c r="DR251" s="1708"/>
      <c r="DS251" s="1708"/>
      <c r="DT251" s="1708"/>
      <c r="DU251" s="1708"/>
      <c r="DV251" s="1708"/>
      <c r="DW251" s="1708"/>
      <c r="DX251" s="1708"/>
      <c r="DY251" s="1708"/>
      <c r="DZ251" s="1708"/>
      <c r="EA251" s="1708"/>
      <c r="EB251" s="1708"/>
      <c r="EC251" s="1708"/>
      <c r="ED251" s="1708"/>
      <c r="EE251" s="1708"/>
      <c r="EF251" s="1708"/>
      <c r="EG251" s="1708"/>
      <c r="EH251" s="1708"/>
      <c r="EI251" s="1708"/>
      <c r="EJ251" s="1708"/>
      <c r="EK251" s="1708"/>
      <c r="EL251" s="1708"/>
      <c r="EM251" s="1708"/>
      <c r="EN251" s="1708"/>
      <c r="EO251" s="1708"/>
      <c r="EP251" s="1708"/>
      <c r="EQ251" s="1708"/>
      <c r="ER251" s="1708"/>
      <c r="ES251" s="1708"/>
      <c r="ET251" s="1708"/>
      <c r="EU251" s="1708"/>
      <c r="EV251" s="1708"/>
      <c r="EW251" s="1708"/>
      <c r="EX251" s="1708"/>
      <c r="EY251" s="1708"/>
      <c r="EZ251" s="1708"/>
      <c r="FA251" s="1708"/>
      <c r="FB251" s="1708"/>
      <c r="FC251" s="1708"/>
      <c r="FD251" s="1708"/>
      <c r="FE251" s="1708"/>
      <c r="FF251" s="1708"/>
      <c r="FG251" s="1708"/>
      <c r="FH251" s="1708"/>
      <c r="FI251" s="1708"/>
      <c r="FJ251" s="1708"/>
      <c r="FK251" s="1708"/>
      <c r="FL251" s="1708"/>
      <c r="FM251" s="1708"/>
      <c r="FN251" s="1708"/>
      <c r="FO251" s="1708"/>
      <c r="FP251" s="1708"/>
      <c r="FQ251" s="1708"/>
      <c r="FR251" s="1708"/>
      <c r="FS251" s="1708"/>
      <c r="FT251" s="1708"/>
      <c r="FU251" s="1708"/>
      <c r="FV251" s="1708"/>
      <c r="FW251" s="1708"/>
      <c r="FX251" s="1708"/>
      <c r="FY251" s="1708"/>
      <c r="FZ251" s="1708"/>
      <c r="GA251" s="1708"/>
      <c r="GB251" s="1708"/>
      <c r="GC251" s="1708"/>
      <c r="GD251" s="1708"/>
      <c r="GE251" s="1708"/>
      <c r="GF251" s="1708"/>
      <c r="GG251" s="1708"/>
      <c r="GH251" s="1708"/>
      <c r="GI251" s="1708"/>
      <c r="GJ251" s="1708"/>
      <c r="GK251" s="1708"/>
      <c r="GL251" s="1708"/>
      <c r="GM251" s="1708"/>
      <c r="GN251" s="1708"/>
      <c r="GO251" s="1708"/>
      <c r="GP251" s="1708"/>
      <c r="GQ251" s="1708"/>
      <c r="GR251" s="1708"/>
      <c r="GS251" s="1708"/>
      <c r="GT251" s="1708"/>
      <c r="GU251" s="1708"/>
      <c r="GV251" s="1708"/>
      <c r="GW251" s="1708"/>
      <c r="GX251" s="1708"/>
      <c r="GY251" s="1708"/>
      <c r="GZ251" s="1708"/>
      <c r="HA251" s="1708"/>
      <c r="HB251" s="1708"/>
      <c r="HC251" s="1708"/>
      <c r="HD251" s="1708"/>
      <c r="HE251" s="1708"/>
      <c r="HF251" s="1708"/>
      <c r="HG251" s="1708"/>
      <c r="HH251" s="1708"/>
      <c r="HI251" s="1708"/>
      <c r="HJ251" s="1708"/>
      <c r="HK251" s="1708"/>
      <c r="HL251" s="1708"/>
      <c r="HM251" s="1708"/>
      <c r="HN251" s="1708"/>
      <c r="HO251" s="1708"/>
      <c r="HP251" s="1708"/>
      <c r="HQ251" s="1708"/>
      <c r="HR251" s="1708"/>
      <c r="HS251" s="1708"/>
      <c r="HT251" s="1708"/>
      <c r="HU251" s="1708"/>
      <c r="HV251" s="1708"/>
      <c r="HW251" s="1708"/>
      <c r="HX251" s="1708"/>
      <c r="HY251" s="1708"/>
      <c r="HZ251" s="1708"/>
      <c r="IA251" s="1708"/>
      <c r="IB251" s="1708"/>
      <c r="IC251" s="1708"/>
      <c r="ID251" s="1708"/>
      <c r="IE251" s="1708"/>
      <c r="IF251" s="1708"/>
      <c r="IG251" s="1708"/>
      <c r="IH251" s="1708"/>
      <c r="II251" s="1708"/>
      <c r="IJ251" s="1708"/>
      <c r="IK251" s="1708"/>
      <c r="IL251" s="1708"/>
      <c r="IM251" s="1708"/>
      <c r="IN251" s="1708"/>
      <c r="IO251" s="1708"/>
      <c r="IP251" s="1708"/>
      <c r="IQ251" s="1708"/>
      <c r="IR251" s="1708"/>
      <c r="IS251" s="1708"/>
      <c r="IT251" s="1708"/>
      <c r="IU251" s="1708"/>
      <c r="IV251" s="1708"/>
    </row>
    <row r="252" spans="2:256" s="57" customFormat="1" x14ac:dyDescent="0.25">
      <c r="B252" s="1836"/>
      <c r="G252" s="1849"/>
      <c r="J252" s="1850"/>
      <c r="K252" s="1850"/>
      <c r="S252" s="1708"/>
      <c r="T252" s="1708"/>
      <c r="U252" s="1708"/>
      <c r="V252" s="1708"/>
      <c r="W252" s="1708"/>
      <c r="X252" s="1708"/>
      <c r="Y252" s="1708"/>
      <c r="Z252" s="1708"/>
      <c r="AA252" s="1708"/>
      <c r="AB252" s="1708"/>
      <c r="AC252" s="1708"/>
      <c r="AD252" s="1708"/>
      <c r="AE252" s="1708"/>
      <c r="AF252" s="1708"/>
      <c r="AG252" s="1708"/>
      <c r="AH252" s="1708"/>
      <c r="AI252" s="1708"/>
      <c r="AJ252" s="1708"/>
      <c r="AK252" s="1708"/>
      <c r="AL252" s="1708"/>
      <c r="AM252" s="1708"/>
      <c r="AN252" s="1708"/>
      <c r="AO252" s="1708"/>
      <c r="AP252" s="1708"/>
      <c r="AQ252" s="1708"/>
      <c r="AR252" s="1708"/>
      <c r="AS252" s="1708"/>
      <c r="AT252" s="1708"/>
      <c r="AU252" s="1708"/>
      <c r="AV252" s="1708"/>
      <c r="AW252" s="1708"/>
      <c r="AX252" s="1708"/>
      <c r="AY252" s="1708"/>
      <c r="AZ252" s="1708"/>
      <c r="BA252" s="1708"/>
      <c r="BB252" s="1708"/>
      <c r="BC252" s="1708"/>
      <c r="BD252" s="1708"/>
      <c r="BE252" s="1708"/>
      <c r="BF252" s="1708"/>
      <c r="BG252" s="1708"/>
      <c r="BH252" s="1708"/>
      <c r="BI252" s="1708"/>
      <c r="BJ252" s="1708"/>
      <c r="BK252" s="1708"/>
      <c r="BL252" s="1708"/>
      <c r="BM252" s="1708"/>
      <c r="BN252" s="1708"/>
      <c r="BO252" s="1708"/>
      <c r="BP252" s="1708"/>
      <c r="BQ252" s="1708"/>
      <c r="BR252" s="1708"/>
      <c r="BS252" s="1708"/>
      <c r="BT252" s="1708"/>
      <c r="BU252" s="1708"/>
      <c r="BV252" s="1708"/>
      <c r="BW252" s="1708"/>
      <c r="BX252" s="1708"/>
      <c r="BY252" s="1708"/>
      <c r="BZ252" s="1708"/>
      <c r="CA252" s="1708"/>
      <c r="CB252" s="1708"/>
      <c r="CC252" s="1708"/>
      <c r="CD252" s="1708"/>
      <c r="CE252" s="1708"/>
      <c r="CF252" s="1708"/>
      <c r="CG252" s="1708"/>
      <c r="CH252" s="1708"/>
      <c r="CI252" s="1708"/>
      <c r="CJ252" s="1708"/>
      <c r="CK252" s="1708"/>
      <c r="CL252" s="1708"/>
      <c r="CM252" s="1708"/>
      <c r="CN252" s="1708"/>
      <c r="CO252" s="1708"/>
      <c r="CP252" s="1708"/>
      <c r="CQ252" s="1708"/>
      <c r="CR252" s="1708"/>
      <c r="CS252" s="1708"/>
      <c r="CT252" s="1708"/>
      <c r="CU252" s="1708"/>
      <c r="CV252" s="1708"/>
      <c r="CW252" s="1708"/>
      <c r="CX252" s="1708"/>
      <c r="CY252" s="1708"/>
      <c r="CZ252" s="1708"/>
      <c r="DA252" s="1708"/>
      <c r="DB252" s="1708"/>
      <c r="DC252" s="1708"/>
      <c r="DD252" s="1708"/>
      <c r="DE252" s="1708"/>
      <c r="DF252" s="1708"/>
      <c r="DG252" s="1708"/>
      <c r="DH252" s="1708"/>
      <c r="DI252" s="1708"/>
      <c r="DJ252" s="1708"/>
      <c r="DK252" s="1708"/>
      <c r="DL252" s="1708"/>
      <c r="DM252" s="1708"/>
      <c r="DN252" s="1708"/>
      <c r="DO252" s="1708"/>
      <c r="DP252" s="1708"/>
      <c r="DQ252" s="1708"/>
      <c r="DR252" s="1708"/>
      <c r="DS252" s="1708"/>
      <c r="DT252" s="1708"/>
      <c r="DU252" s="1708"/>
      <c r="DV252" s="1708"/>
      <c r="DW252" s="1708"/>
      <c r="DX252" s="1708"/>
      <c r="DY252" s="1708"/>
      <c r="DZ252" s="1708"/>
      <c r="EA252" s="1708"/>
      <c r="EB252" s="1708"/>
      <c r="EC252" s="1708"/>
      <c r="ED252" s="1708"/>
      <c r="EE252" s="1708"/>
      <c r="EF252" s="1708"/>
      <c r="EG252" s="1708"/>
      <c r="EH252" s="1708"/>
      <c r="EI252" s="1708"/>
      <c r="EJ252" s="1708"/>
      <c r="EK252" s="1708"/>
      <c r="EL252" s="1708"/>
      <c r="EM252" s="1708"/>
      <c r="EN252" s="1708"/>
      <c r="EO252" s="1708"/>
      <c r="EP252" s="1708"/>
      <c r="EQ252" s="1708"/>
      <c r="ER252" s="1708"/>
      <c r="ES252" s="1708"/>
      <c r="ET252" s="1708"/>
      <c r="EU252" s="1708"/>
      <c r="EV252" s="1708"/>
      <c r="EW252" s="1708"/>
      <c r="EX252" s="1708"/>
      <c r="EY252" s="1708"/>
      <c r="EZ252" s="1708"/>
      <c r="FA252" s="1708"/>
      <c r="FB252" s="1708"/>
      <c r="FC252" s="1708"/>
      <c r="FD252" s="1708"/>
      <c r="FE252" s="1708"/>
      <c r="FF252" s="1708"/>
      <c r="FG252" s="1708"/>
      <c r="FH252" s="1708"/>
      <c r="FI252" s="1708"/>
      <c r="FJ252" s="1708"/>
      <c r="FK252" s="1708"/>
      <c r="FL252" s="1708"/>
      <c r="FM252" s="1708"/>
      <c r="FN252" s="1708"/>
      <c r="FO252" s="1708"/>
      <c r="FP252" s="1708"/>
      <c r="FQ252" s="1708"/>
      <c r="FR252" s="1708"/>
      <c r="FS252" s="1708"/>
      <c r="FT252" s="1708"/>
      <c r="FU252" s="1708"/>
      <c r="FV252" s="1708"/>
      <c r="FW252" s="1708"/>
      <c r="FX252" s="1708"/>
      <c r="FY252" s="1708"/>
      <c r="FZ252" s="1708"/>
      <c r="GA252" s="1708"/>
      <c r="GB252" s="1708"/>
      <c r="GC252" s="1708"/>
      <c r="GD252" s="1708"/>
      <c r="GE252" s="1708"/>
      <c r="GF252" s="1708"/>
      <c r="GG252" s="1708"/>
      <c r="GH252" s="1708"/>
      <c r="GI252" s="1708"/>
      <c r="GJ252" s="1708"/>
      <c r="GK252" s="1708"/>
      <c r="GL252" s="1708"/>
      <c r="GM252" s="1708"/>
      <c r="GN252" s="1708"/>
      <c r="GO252" s="1708"/>
      <c r="GP252" s="1708"/>
      <c r="GQ252" s="1708"/>
      <c r="GR252" s="1708"/>
      <c r="GS252" s="1708"/>
      <c r="GT252" s="1708"/>
      <c r="GU252" s="1708"/>
      <c r="GV252" s="1708"/>
      <c r="GW252" s="1708"/>
      <c r="GX252" s="1708"/>
      <c r="GY252" s="1708"/>
      <c r="GZ252" s="1708"/>
      <c r="HA252" s="1708"/>
      <c r="HB252" s="1708"/>
      <c r="HC252" s="1708"/>
      <c r="HD252" s="1708"/>
      <c r="HE252" s="1708"/>
      <c r="HF252" s="1708"/>
      <c r="HG252" s="1708"/>
      <c r="HH252" s="1708"/>
      <c r="HI252" s="1708"/>
      <c r="HJ252" s="1708"/>
      <c r="HK252" s="1708"/>
      <c r="HL252" s="1708"/>
      <c r="HM252" s="1708"/>
      <c r="HN252" s="1708"/>
      <c r="HO252" s="1708"/>
      <c r="HP252" s="1708"/>
      <c r="HQ252" s="1708"/>
      <c r="HR252" s="1708"/>
      <c r="HS252" s="1708"/>
      <c r="HT252" s="1708"/>
      <c r="HU252" s="1708"/>
      <c r="HV252" s="1708"/>
      <c r="HW252" s="1708"/>
      <c r="HX252" s="1708"/>
      <c r="HY252" s="1708"/>
      <c r="HZ252" s="1708"/>
      <c r="IA252" s="1708"/>
      <c r="IB252" s="1708"/>
      <c r="IC252" s="1708"/>
      <c r="ID252" s="1708"/>
      <c r="IE252" s="1708"/>
      <c r="IF252" s="1708"/>
      <c r="IG252" s="1708"/>
      <c r="IH252" s="1708"/>
      <c r="II252" s="1708"/>
      <c r="IJ252" s="1708"/>
      <c r="IK252" s="1708"/>
      <c r="IL252" s="1708"/>
      <c r="IM252" s="1708"/>
      <c r="IN252" s="1708"/>
      <c r="IO252" s="1708"/>
      <c r="IP252" s="1708"/>
      <c r="IQ252" s="1708"/>
      <c r="IR252" s="1708"/>
      <c r="IS252" s="1708"/>
      <c r="IT252" s="1708"/>
      <c r="IU252" s="1708"/>
      <c r="IV252" s="1708"/>
    </row>
    <row r="253" spans="2:256" s="57" customFormat="1" x14ac:dyDescent="0.25">
      <c r="B253" s="1836"/>
      <c r="G253" s="1849"/>
      <c r="J253" s="1850"/>
      <c r="K253" s="1850"/>
      <c r="S253" s="1708"/>
      <c r="T253" s="1708"/>
      <c r="U253" s="1708"/>
      <c r="V253" s="1708"/>
      <c r="W253" s="1708"/>
      <c r="X253" s="1708"/>
      <c r="Y253" s="1708"/>
      <c r="Z253" s="1708"/>
      <c r="AA253" s="1708"/>
      <c r="AB253" s="1708"/>
      <c r="AC253" s="1708"/>
      <c r="AD253" s="1708"/>
      <c r="AE253" s="1708"/>
      <c r="AF253" s="1708"/>
      <c r="AG253" s="1708"/>
      <c r="AH253" s="1708"/>
      <c r="AI253" s="1708"/>
      <c r="AJ253" s="1708"/>
      <c r="AK253" s="1708"/>
      <c r="AL253" s="1708"/>
      <c r="AM253" s="1708"/>
      <c r="AN253" s="1708"/>
      <c r="AO253" s="1708"/>
      <c r="AP253" s="1708"/>
      <c r="AQ253" s="1708"/>
      <c r="AR253" s="1708"/>
      <c r="AS253" s="1708"/>
      <c r="AT253" s="1708"/>
      <c r="AU253" s="1708"/>
      <c r="AV253" s="1708"/>
      <c r="AW253" s="1708"/>
      <c r="AX253" s="1708"/>
      <c r="AY253" s="1708"/>
      <c r="AZ253" s="1708"/>
      <c r="BA253" s="1708"/>
      <c r="BB253" s="1708"/>
      <c r="BC253" s="1708"/>
      <c r="BD253" s="1708"/>
      <c r="BE253" s="1708"/>
      <c r="BF253" s="1708"/>
      <c r="BG253" s="1708"/>
      <c r="BH253" s="1708"/>
      <c r="BI253" s="1708"/>
      <c r="BJ253" s="1708"/>
      <c r="BK253" s="1708"/>
      <c r="BL253" s="1708"/>
      <c r="BM253" s="1708"/>
      <c r="BN253" s="1708"/>
      <c r="BO253" s="1708"/>
      <c r="BP253" s="1708"/>
      <c r="BQ253" s="1708"/>
      <c r="BR253" s="1708"/>
      <c r="BS253" s="1708"/>
      <c r="BT253" s="1708"/>
      <c r="BU253" s="1708"/>
      <c r="BV253" s="1708"/>
      <c r="BW253" s="1708"/>
      <c r="BX253" s="1708"/>
      <c r="BY253" s="1708"/>
      <c r="BZ253" s="1708"/>
      <c r="CA253" s="1708"/>
      <c r="CB253" s="1708"/>
      <c r="CC253" s="1708"/>
      <c r="CD253" s="1708"/>
      <c r="CE253" s="1708"/>
      <c r="CF253" s="1708"/>
      <c r="CG253" s="1708"/>
      <c r="CH253" s="1708"/>
      <c r="CI253" s="1708"/>
      <c r="CJ253" s="1708"/>
      <c r="CK253" s="1708"/>
      <c r="CL253" s="1708"/>
      <c r="CM253" s="1708"/>
      <c r="CN253" s="1708"/>
      <c r="CO253" s="1708"/>
      <c r="CP253" s="1708"/>
      <c r="CQ253" s="1708"/>
      <c r="CR253" s="1708"/>
      <c r="CS253" s="1708"/>
      <c r="CT253" s="1708"/>
      <c r="CU253" s="1708"/>
      <c r="CV253" s="1708"/>
      <c r="CW253" s="1708"/>
      <c r="CX253" s="1708"/>
      <c r="CY253" s="1708"/>
      <c r="CZ253" s="1708"/>
      <c r="DA253" s="1708"/>
      <c r="DB253" s="1708"/>
      <c r="DC253" s="1708"/>
      <c r="DD253" s="1708"/>
      <c r="DE253" s="1708"/>
      <c r="DF253" s="1708"/>
      <c r="DG253" s="1708"/>
      <c r="DH253" s="1708"/>
      <c r="DI253" s="1708"/>
      <c r="DJ253" s="1708"/>
      <c r="DK253" s="1708"/>
      <c r="DL253" s="1708"/>
      <c r="DM253" s="1708"/>
      <c r="DN253" s="1708"/>
      <c r="DO253" s="1708"/>
      <c r="DP253" s="1708"/>
      <c r="DQ253" s="1708"/>
      <c r="DR253" s="1708"/>
      <c r="DS253" s="1708"/>
      <c r="DT253" s="1708"/>
      <c r="DU253" s="1708"/>
      <c r="DV253" s="1708"/>
      <c r="DW253" s="1708"/>
      <c r="DX253" s="1708"/>
      <c r="DY253" s="1708"/>
      <c r="DZ253" s="1708"/>
      <c r="EA253" s="1708"/>
      <c r="EB253" s="1708"/>
      <c r="EC253" s="1708"/>
      <c r="ED253" s="1708"/>
      <c r="EE253" s="1708"/>
      <c r="EF253" s="1708"/>
      <c r="EG253" s="1708"/>
      <c r="EH253" s="1708"/>
      <c r="EI253" s="1708"/>
      <c r="EJ253" s="1708"/>
      <c r="EK253" s="1708"/>
      <c r="EL253" s="1708"/>
      <c r="EM253" s="1708"/>
      <c r="EN253" s="1708"/>
      <c r="EO253" s="1708"/>
      <c r="EP253" s="1708"/>
      <c r="EQ253" s="1708"/>
      <c r="ER253" s="1708"/>
      <c r="ES253" s="1708"/>
      <c r="ET253" s="1708"/>
      <c r="EU253" s="1708"/>
      <c r="EV253" s="1708"/>
      <c r="EW253" s="1708"/>
      <c r="EX253" s="1708"/>
      <c r="EY253" s="1708"/>
      <c r="EZ253" s="1708"/>
      <c r="FA253" s="1708"/>
      <c r="FB253" s="1708"/>
      <c r="FC253" s="1708"/>
      <c r="FD253" s="1708"/>
      <c r="FE253" s="1708"/>
      <c r="FF253" s="1708"/>
      <c r="FG253" s="1708"/>
      <c r="FH253" s="1708"/>
      <c r="FI253" s="1708"/>
      <c r="FJ253" s="1708"/>
      <c r="FK253" s="1708"/>
      <c r="FL253" s="1708"/>
      <c r="FM253" s="1708"/>
      <c r="FN253" s="1708"/>
      <c r="FO253" s="1708"/>
      <c r="FP253" s="1708"/>
      <c r="FQ253" s="1708"/>
      <c r="FR253" s="1708"/>
      <c r="FS253" s="1708"/>
      <c r="FT253" s="1708"/>
      <c r="FU253" s="1708"/>
      <c r="FV253" s="1708"/>
      <c r="FW253" s="1708"/>
      <c r="FX253" s="1708"/>
      <c r="FY253" s="1708"/>
      <c r="FZ253" s="1708"/>
      <c r="GA253" s="1708"/>
      <c r="GB253" s="1708"/>
      <c r="GC253" s="1708"/>
      <c r="GD253" s="1708"/>
      <c r="GE253" s="1708"/>
      <c r="GF253" s="1708"/>
      <c r="GG253" s="1708"/>
      <c r="GH253" s="1708"/>
      <c r="GI253" s="1708"/>
      <c r="GJ253" s="1708"/>
      <c r="GK253" s="1708"/>
      <c r="GL253" s="1708"/>
      <c r="GM253" s="1708"/>
      <c r="GN253" s="1708"/>
      <c r="GO253" s="1708"/>
      <c r="GP253" s="1708"/>
      <c r="GQ253" s="1708"/>
      <c r="GR253" s="1708"/>
      <c r="GS253" s="1708"/>
      <c r="GT253" s="1708"/>
      <c r="GU253" s="1708"/>
      <c r="GV253" s="1708"/>
      <c r="GW253" s="1708"/>
      <c r="GX253" s="1708"/>
      <c r="GY253" s="1708"/>
      <c r="GZ253" s="1708"/>
      <c r="HA253" s="1708"/>
      <c r="HB253" s="1708"/>
      <c r="HC253" s="1708"/>
      <c r="HD253" s="1708"/>
      <c r="HE253" s="1708"/>
      <c r="HF253" s="1708"/>
      <c r="HG253" s="1708"/>
      <c r="HH253" s="1708"/>
      <c r="HI253" s="1708"/>
      <c r="HJ253" s="1708"/>
      <c r="HK253" s="1708"/>
      <c r="HL253" s="1708"/>
      <c r="HM253" s="1708"/>
      <c r="HN253" s="1708"/>
      <c r="HO253" s="1708"/>
      <c r="HP253" s="1708"/>
      <c r="HQ253" s="1708"/>
      <c r="HR253" s="1708"/>
      <c r="HS253" s="1708"/>
      <c r="HT253" s="1708"/>
      <c r="HU253" s="1708"/>
      <c r="HV253" s="1708"/>
      <c r="HW253" s="1708"/>
      <c r="HX253" s="1708"/>
      <c r="HY253" s="1708"/>
      <c r="HZ253" s="1708"/>
      <c r="IA253" s="1708"/>
      <c r="IB253" s="1708"/>
      <c r="IC253" s="1708"/>
      <c r="ID253" s="1708"/>
      <c r="IE253" s="1708"/>
      <c r="IF253" s="1708"/>
      <c r="IG253" s="1708"/>
      <c r="IH253" s="1708"/>
      <c r="II253" s="1708"/>
      <c r="IJ253" s="1708"/>
      <c r="IK253" s="1708"/>
      <c r="IL253" s="1708"/>
      <c r="IM253" s="1708"/>
      <c r="IN253" s="1708"/>
      <c r="IO253" s="1708"/>
      <c r="IP253" s="1708"/>
      <c r="IQ253" s="1708"/>
      <c r="IR253" s="1708"/>
      <c r="IS253" s="1708"/>
      <c r="IT253" s="1708"/>
      <c r="IU253" s="1708"/>
      <c r="IV253" s="1708"/>
    </row>
    <row r="254" spans="2:256" s="57" customFormat="1" x14ac:dyDescent="0.25">
      <c r="B254" s="1836"/>
      <c r="G254" s="1849"/>
      <c r="J254" s="1850"/>
      <c r="K254" s="1850"/>
      <c r="S254" s="1708"/>
      <c r="T254" s="1708"/>
      <c r="U254" s="1708"/>
      <c r="V254" s="1708"/>
      <c r="W254" s="1708"/>
      <c r="X254" s="1708"/>
      <c r="Y254" s="1708"/>
      <c r="Z254" s="1708"/>
      <c r="AA254" s="1708"/>
      <c r="AB254" s="1708"/>
      <c r="AC254" s="1708"/>
      <c r="AD254" s="1708"/>
      <c r="AE254" s="1708"/>
      <c r="AF254" s="1708"/>
      <c r="AG254" s="1708"/>
      <c r="AH254" s="1708"/>
      <c r="AI254" s="1708"/>
      <c r="AJ254" s="1708"/>
      <c r="AK254" s="1708"/>
      <c r="AL254" s="1708"/>
      <c r="AM254" s="1708"/>
      <c r="AN254" s="1708"/>
      <c r="AO254" s="1708"/>
      <c r="AP254" s="1708"/>
      <c r="AQ254" s="1708"/>
      <c r="AR254" s="1708"/>
      <c r="AS254" s="1708"/>
      <c r="AT254" s="1708"/>
      <c r="AU254" s="1708"/>
      <c r="AV254" s="1708"/>
      <c r="AW254" s="1708"/>
      <c r="AX254" s="1708"/>
      <c r="AY254" s="1708"/>
      <c r="AZ254" s="1708"/>
      <c r="BA254" s="1708"/>
      <c r="BB254" s="1708"/>
      <c r="BC254" s="1708"/>
      <c r="BD254" s="1708"/>
      <c r="BE254" s="1708"/>
      <c r="BF254" s="1708"/>
      <c r="BG254" s="1708"/>
      <c r="BH254" s="1708"/>
      <c r="BI254" s="1708"/>
      <c r="BJ254" s="1708"/>
      <c r="BK254" s="1708"/>
      <c r="BL254" s="1708"/>
      <c r="BM254" s="1708"/>
      <c r="BN254" s="1708"/>
      <c r="BO254" s="1708"/>
      <c r="BP254" s="1708"/>
      <c r="BQ254" s="1708"/>
      <c r="BR254" s="1708"/>
      <c r="BS254" s="1708"/>
      <c r="BT254" s="1708"/>
      <c r="BU254" s="1708"/>
      <c r="BV254" s="1708"/>
      <c r="BW254" s="1708"/>
      <c r="BX254" s="1708"/>
      <c r="BY254" s="1708"/>
      <c r="BZ254" s="1708"/>
      <c r="CA254" s="1708"/>
      <c r="CB254" s="1708"/>
      <c r="CC254" s="1708"/>
      <c r="CD254" s="1708"/>
      <c r="CE254" s="1708"/>
      <c r="CF254" s="1708"/>
      <c r="CG254" s="1708"/>
      <c r="CH254" s="1708"/>
      <c r="CI254" s="1708"/>
      <c r="CJ254" s="1708"/>
      <c r="CK254" s="1708"/>
      <c r="CL254" s="1708"/>
      <c r="CM254" s="1708"/>
      <c r="CN254" s="1708"/>
      <c r="CO254" s="1708"/>
      <c r="CP254" s="1708"/>
      <c r="CQ254" s="1708"/>
      <c r="CR254" s="1708"/>
      <c r="CS254" s="1708"/>
      <c r="CT254" s="1708"/>
      <c r="CU254" s="1708"/>
      <c r="CV254" s="1708"/>
      <c r="CW254" s="1708"/>
      <c r="CX254" s="1708"/>
      <c r="CY254" s="1708"/>
      <c r="CZ254" s="1708"/>
      <c r="DA254" s="1708"/>
      <c r="DB254" s="1708"/>
      <c r="DC254" s="1708"/>
      <c r="DD254" s="1708"/>
      <c r="DE254" s="1708"/>
      <c r="DF254" s="1708"/>
      <c r="DG254" s="1708"/>
      <c r="DH254" s="1708"/>
      <c r="DI254" s="1708"/>
      <c r="DJ254" s="1708"/>
      <c r="DK254" s="1708"/>
      <c r="DL254" s="1708"/>
      <c r="DM254" s="1708"/>
      <c r="DN254" s="1708"/>
      <c r="DO254" s="1708"/>
      <c r="DP254" s="1708"/>
      <c r="DQ254" s="1708"/>
      <c r="DR254" s="1708"/>
      <c r="DS254" s="1708"/>
      <c r="DT254" s="1708"/>
      <c r="DU254" s="1708"/>
      <c r="DV254" s="1708"/>
      <c r="DW254" s="1708"/>
      <c r="DX254" s="1708"/>
      <c r="DY254" s="1708"/>
      <c r="DZ254" s="1708"/>
      <c r="EA254" s="1708"/>
      <c r="EB254" s="1708"/>
      <c r="EC254" s="1708"/>
      <c r="ED254" s="1708"/>
      <c r="EE254" s="1708"/>
      <c r="EF254" s="1708"/>
      <c r="EG254" s="1708"/>
      <c r="EH254" s="1708"/>
      <c r="EI254" s="1708"/>
      <c r="EJ254" s="1708"/>
      <c r="EK254" s="1708"/>
      <c r="EL254" s="1708"/>
      <c r="EM254" s="1708"/>
      <c r="EN254" s="1708"/>
      <c r="EO254" s="1708"/>
      <c r="EP254" s="1708"/>
      <c r="EQ254" s="1708"/>
      <c r="ER254" s="1708"/>
      <c r="ES254" s="1708"/>
      <c r="ET254" s="1708"/>
      <c r="EU254" s="1708"/>
      <c r="EV254" s="1708"/>
      <c r="EW254" s="1708"/>
      <c r="EX254" s="1708"/>
      <c r="EY254" s="1708"/>
      <c r="EZ254" s="1708"/>
      <c r="FA254" s="1708"/>
      <c r="FB254" s="1708"/>
      <c r="FC254" s="1708"/>
      <c r="FD254" s="1708"/>
      <c r="FE254" s="1708"/>
      <c r="FF254" s="1708"/>
      <c r="FG254" s="1708"/>
      <c r="FH254" s="1708"/>
      <c r="FI254" s="1708"/>
      <c r="FJ254" s="1708"/>
      <c r="FK254" s="1708"/>
      <c r="FL254" s="1708"/>
      <c r="FM254" s="1708"/>
      <c r="FN254" s="1708"/>
      <c r="FO254" s="1708"/>
      <c r="FP254" s="1708"/>
      <c r="FQ254" s="1708"/>
      <c r="FR254" s="1708"/>
      <c r="FS254" s="1708"/>
      <c r="FT254" s="1708"/>
      <c r="FU254" s="1708"/>
      <c r="FV254" s="1708"/>
      <c r="FW254" s="1708"/>
      <c r="FX254" s="1708"/>
      <c r="FY254" s="1708"/>
      <c r="FZ254" s="1708"/>
      <c r="GA254" s="1708"/>
      <c r="GB254" s="1708"/>
      <c r="GC254" s="1708"/>
      <c r="GD254" s="1708"/>
      <c r="GE254" s="1708"/>
      <c r="GF254" s="1708"/>
      <c r="GG254" s="1708"/>
      <c r="GH254" s="1708"/>
      <c r="GI254" s="1708"/>
      <c r="GJ254" s="1708"/>
      <c r="GK254" s="1708"/>
      <c r="GL254" s="1708"/>
      <c r="GM254" s="1708"/>
      <c r="GN254" s="1708"/>
      <c r="GO254" s="1708"/>
      <c r="GP254" s="1708"/>
      <c r="GQ254" s="1708"/>
      <c r="GR254" s="1708"/>
      <c r="GS254" s="1708"/>
      <c r="GT254" s="1708"/>
      <c r="GU254" s="1708"/>
      <c r="GV254" s="1708"/>
      <c r="GW254" s="1708"/>
      <c r="GX254" s="1708"/>
      <c r="GY254" s="1708"/>
      <c r="GZ254" s="1708"/>
      <c r="HA254" s="1708"/>
      <c r="HB254" s="1708"/>
      <c r="HC254" s="1708"/>
      <c r="HD254" s="1708"/>
      <c r="HE254" s="1708"/>
      <c r="HF254" s="1708"/>
      <c r="HG254" s="1708"/>
      <c r="HH254" s="1708"/>
      <c r="HI254" s="1708"/>
      <c r="HJ254" s="1708"/>
      <c r="HK254" s="1708"/>
      <c r="HL254" s="1708"/>
      <c r="HM254" s="1708"/>
      <c r="HN254" s="1708"/>
      <c r="HO254" s="1708"/>
      <c r="HP254" s="1708"/>
      <c r="HQ254" s="1708"/>
      <c r="HR254" s="1708"/>
      <c r="HS254" s="1708"/>
      <c r="HT254" s="1708"/>
      <c r="HU254" s="1708"/>
      <c r="HV254" s="1708"/>
      <c r="HW254" s="1708"/>
      <c r="HX254" s="1708"/>
      <c r="HY254" s="1708"/>
      <c r="HZ254" s="1708"/>
      <c r="IA254" s="1708"/>
      <c r="IB254" s="1708"/>
      <c r="IC254" s="1708"/>
      <c r="ID254" s="1708"/>
      <c r="IE254" s="1708"/>
      <c r="IF254" s="1708"/>
      <c r="IG254" s="1708"/>
      <c r="IH254" s="1708"/>
      <c r="II254" s="1708"/>
      <c r="IJ254" s="1708"/>
      <c r="IK254" s="1708"/>
      <c r="IL254" s="1708"/>
      <c r="IM254" s="1708"/>
      <c r="IN254" s="1708"/>
      <c r="IO254" s="1708"/>
      <c r="IP254" s="1708"/>
      <c r="IQ254" s="1708"/>
      <c r="IR254" s="1708"/>
      <c r="IS254" s="1708"/>
      <c r="IT254" s="1708"/>
      <c r="IU254" s="1708"/>
      <c r="IV254" s="1708"/>
    </row>
    <row r="255" spans="2:256" s="57" customFormat="1" x14ac:dyDescent="0.25">
      <c r="B255" s="1836"/>
      <c r="G255" s="1849"/>
      <c r="J255" s="1850"/>
      <c r="K255" s="1850"/>
      <c r="S255" s="1708"/>
      <c r="T255" s="1708"/>
      <c r="U255" s="1708"/>
      <c r="V255" s="1708"/>
      <c r="W255" s="1708"/>
      <c r="X255" s="1708"/>
      <c r="Y255" s="1708"/>
      <c r="Z255" s="1708"/>
      <c r="AA255" s="1708"/>
      <c r="AB255" s="1708"/>
      <c r="AC255" s="1708"/>
      <c r="AD255" s="1708"/>
      <c r="AE255" s="1708"/>
      <c r="AF255" s="1708"/>
      <c r="AG255" s="1708"/>
      <c r="AH255" s="1708"/>
      <c r="AI255" s="1708"/>
      <c r="AJ255" s="1708"/>
      <c r="AK255" s="1708"/>
      <c r="AL255" s="1708"/>
      <c r="AM255" s="1708"/>
      <c r="AN255" s="1708"/>
      <c r="AO255" s="1708"/>
      <c r="AP255" s="1708"/>
      <c r="AQ255" s="1708"/>
      <c r="AR255" s="1708"/>
      <c r="AS255" s="1708"/>
      <c r="AT255" s="1708"/>
      <c r="AU255" s="1708"/>
      <c r="AV255" s="1708"/>
      <c r="AW255" s="1708"/>
      <c r="AX255" s="1708"/>
      <c r="AY255" s="1708"/>
      <c r="AZ255" s="1708"/>
      <c r="BA255" s="1708"/>
      <c r="BB255" s="1708"/>
      <c r="BC255" s="1708"/>
      <c r="BD255" s="1708"/>
      <c r="BE255" s="1708"/>
      <c r="BF255" s="1708"/>
      <c r="BG255" s="1708"/>
      <c r="BH255" s="1708"/>
      <c r="BI255" s="1708"/>
      <c r="BJ255" s="1708"/>
      <c r="BK255" s="1708"/>
      <c r="BL255" s="1708"/>
      <c r="BM255" s="1708"/>
      <c r="BN255" s="1708"/>
      <c r="BO255" s="1708"/>
      <c r="BP255" s="1708"/>
      <c r="BQ255" s="1708"/>
      <c r="BR255" s="1708"/>
      <c r="BS255" s="1708"/>
      <c r="BT255" s="1708"/>
      <c r="BU255" s="1708"/>
      <c r="BV255" s="1708"/>
      <c r="BW255" s="1708"/>
      <c r="BX255" s="1708"/>
      <c r="BY255" s="1708"/>
      <c r="BZ255" s="1708"/>
      <c r="CA255" s="1708"/>
      <c r="CB255" s="1708"/>
      <c r="CC255" s="1708"/>
      <c r="CD255" s="1708"/>
      <c r="CE255" s="1708"/>
      <c r="CF255" s="1708"/>
      <c r="CG255" s="1708"/>
      <c r="CH255" s="1708"/>
      <c r="CI255" s="1708"/>
      <c r="CJ255" s="1708"/>
      <c r="CK255" s="1708"/>
      <c r="CL255" s="1708"/>
      <c r="CM255" s="1708"/>
      <c r="CN255" s="1708"/>
      <c r="CO255" s="1708"/>
      <c r="CP255" s="1708"/>
      <c r="CQ255" s="1708"/>
      <c r="CR255" s="1708"/>
      <c r="CS255" s="1708"/>
      <c r="CT255" s="1708"/>
      <c r="CU255" s="1708"/>
      <c r="CV255" s="1708"/>
      <c r="CW255" s="1708"/>
      <c r="CX255" s="1708"/>
      <c r="CY255" s="1708"/>
      <c r="CZ255" s="1708"/>
      <c r="DA255" s="1708"/>
      <c r="DB255" s="1708"/>
      <c r="DC255" s="1708"/>
      <c r="DD255" s="1708"/>
      <c r="DE255" s="1708"/>
      <c r="DF255" s="1708"/>
      <c r="DG255" s="1708"/>
      <c r="DH255" s="1708"/>
      <c r="DI255" s="1708"/>
      <c r="DJ255" s="1708"/>
      <c r="DK255" s="1708"/>
      <c r="DL255" s="1708"/>
      <c r="DM255" s="1708"/>
      <c r="DN255" s="1708"/>
      <c r="DO255" s="1708"/>
      <c r="DP255" s="1708"/>
      <c r="DQ255" s="1708"/>
      <c r="DR255" s="1708"/>
      <c r="DS255" s="1708"/>
      <c r="DT255" s="1708"/>
      <c r="DU255" s="1708"/>
      <c r="DV255" s="1708"/>
      <c r="DW255" s="1708"/>
      <c r="DX255" s="1708"/>
      <c r="DY255" s="1708"/>
      <c r="DZ255" s="1708"/>
      <c r="EA255" s="1708"/>
      <c r="EB255" s="1708"/>
      <c r="EC255" s="1708"/>
      <c r="ED255" s="1708"/>
      <c r="EE255" s="1708"/>
      <c r="EF255" s="1708"/>
      <c r="EG255" s="1708"/>
      <c r="EH255" s="1708"/>
      <c r="EI255" s="1708"/>
      <c r="EJ255" s="1708"/>
      <c r="EK255" s="1708"/>
      <c r="EL255" s="1708"/>
      <c r="EM255" s="1708"/>
      <c r="EN255" s="1708"/>
      <c r="EO255" s="1708"/>
      <c r="EP255" s="1708"/>
      <c r="EQ255" s="1708"/>
      <c r="ER255" s="1708"/>
      <c r="ES255" s="1708"/>
      <c r="ET255" s="1708"/>
      <c r="EU255" s="1708"/>
      <c r="EV255" s="1708"/>
      <c r="EW255" s="1708"/>
      <c r="EX255" s="1708"/>
      <c r="EY255" s="1708"/>
      <c r="EZ255" s="1708"/>
      <c r="FA255" s="1708"/>
      <c r="FB255" s="1708"/>
      <c r="FC255" s="1708"/>
      <c r="FD255" s="1708"/>
      <c r="FE255" s="1708"/>
      <c r="FF255" s="1708"/>
      <c r="FG255" s="1708"/>
      <c r="FH255" s="1708"/>
      <c r="FI255" s="1708"/>
      <c r="FJ255" s="1708"/>
      <c r="FK255" s="1708"/>
      <c r="FL255" s="1708"/>
      <c r="FM255" s="1708"/>
      <c r="FN255" s="1708"/>
      <c r="FO255" s="1708"/>
      <c r="FP255" s="1708"/>
      <c r="FQ255" s="1708"/>
      <c r="FR255" s="1708"/>
      <c r="FS255" s="1708"/>
      <c r="FT255" s="1708"/>
      <c r="FU255" s="1708"/>
      <c r="FV255" s="1708"/>
      <c r="FW255" s="1708"/>
      <c r="FX255" s="1708"/>
      <c r="FY255" s="1708"/>
      <c r="FZ255" s="1708"/>
      <c r="GA255" s="1708"/>
      <c r="GB255" s="1708"/>
      <c r="GC255" s="1708"/>
      <c r="GD255" s="1708"/>
      <c r="GE255" s="1708"/>
      <c r="GF255" s="1708"/>
      <c r="GG255" s="1708"/>
      <c r="GH255" s="1708"/>
      <c r="GI255" s="1708"/>
      <c r="GJ255" s="1708"/>
      <c r="GK255" s="1708"/>
      <c r="GL255" s="1708"/>
      <c r="GM255" s="1708"/>
      <c r="GN255" s="1708"/>
      <c r="GO255" s="1708"/>
      <c r="GP255" s="1708"/>
      <c r="GQ255" s="1708"/>
      <c r="GR255" s="1708"/>
      <c r="GS255" s="1708"/>
      <c r="GT255" s="1708"/>
      <c r="GU255" s="1708"/>
      <c r="GV255" s="1708"/>
      <c r="GW255" s="1708"/>
      <c r="GX255" s="1708"/>
      <c r="GY255" s="1708"/>
      <c r="GZ255" s="1708"/>
      <c r="HA255" s="1708"/>
      <c r="HB255" s="1708"/>
      <c r="HC255" s="1708"/>
      <c r="HD255" s="1708"/>
      <c r="HE255" s="1708"/>
      <c r="HF255" s="1708"/>
      <c r="HG255" s="1708"/>
      <c r="HH255" s="1708"/>
      <c r="HI255" s="1708"/>
      <c r="HJ255" s="1708"/>
      <c r="HK255" s="1708"/>
      <c r="HL255" s="1708"/>
      <c r="HM255" s="1708"/>
      <c r="HN255" s="1708"/>
      <c r="HO255" s="1708"/>
      <c r="HP255" s="1708"/>
      <c r="HQ255" s="1708"/>
      <c r="HR255" s="1708"/>
      <c r="HS255" s="1708"/>
      <c r="HT255" s="1708"/>
      <c r="HU255" s="1708"/>
      <c r="HV255" s="1708"/>
      <c r="HW255" s="1708"/>
      <c r="HX255" s="1708"/>
      <c r="HY255" s="1708"/>
      <c r="HZ255" s="1708"/>
      <c r="IA255" s="1708"/>
      <c r="IB255" s="1708"/>
      <c r="IC255" s="1708"/>
      <c r="ID255" s="1708"/>
      <c r="IE255" s="1708"/>
      <c r="IF255" s="1708"/>
      <c r="IG255" s="1708"/>
      <c r="IH255" s="1708"/>
      <c r="II255" s="1708"/>
      <c r="IJ255" s="1708"/>
      <c r="IK255" s="1708"/>
      <c r="IL255" s="1708"/>
      <c r="IM255" s="1708"/>
      <c r="IN255" s="1708"/>
      <c r="IO255" s="1708"/>
      <c r="IP255" s="1708"/>
      <c r="IQ255" s="1708"/>
      <c r="IR255" s="1708"/>
      <c r="IS255" s="1708"/>
      <c r="IT255" s="1708"/>
      <c r="IU255" s="1708"/>
      <c r="IV255" s="1708"/>
    </row>
    <row r="256" spans="2:256" s="57" customFormat="1" x14ac:dyDescent="0.25">
      <c r="B256" s="1836"/>
      <c r="G256" s="1849"/>
      <c r="J256" s="1850"/>
      <c r="K256" s="1850"/>
      <c r="S256" s="1708"/>
      <c r="T256" s="1708"/>
      <c r="U256" s="1708"/>
      <c r="V256" s="1708"/>
      <c r="W256" s="1708"/>
      <c r="X256" s="1708"/>
      <c r="Y256" s="1708"/>
      <c r="Z256" s="1708"/>
      <c r="AA256" s="1708"/>
      <c r="AB256" s="1708"/>
      <c r="AC256" s="1708"/>
      <c r="AD256" s="1708"/>
      <c r="AE256" s="1708"/>
      <c r="AF256" s="1708"/>
      <c r="AG256" s="1708"/>
      <c r="AH256" s="1708"/>
      <c r="AI256" s="1708"/>
      <c r="AJ256" s="1708"/>
      <c r="AK256" s="1708"/>
      <c r="AL256" s="1708"/>
      <c r="AM256" s="1708"/>
      <c r="AN256" s="1708"/>
      <c r="AO256" s="1708"/>
      <c r="AP256" s="1708"/>
      <c r="AQ256" s="1708"/>
      <c r="AR256" s="1708"/>
      <c r="AS256" s="1708"/>
      <c r="AT256" s="1708"/>
      <c r="AU256" s="1708"/>
      <c r="AV256" s="1708"/>
      <c r="AW256" s="1708"/>
      <c r="AX256" s="1708"/>
      <c r="AY256" s="1708"/>
      <c r="AZ256" s="1708"/>
      <c r="BA256" s="1708"/>
      <c r="BB256" s="1708"/>
      <c r="BC256" s="1708"/>
      <c r="BD256" s="1708"/>
      <c r="BE256" s="1708"/>
      <c r="BF256" s="1708"/>
      <c r="BG256" s="1708"/>
      <c r="BH256" s="1708"/>
      <c r="BI256" s="1708"/>
      <c r="BJ256" s="1708"/>
      <c r="BK256" s="1708"/>
      <c r="BL256" s="1708"/>
      <c r="BM256" s="1708"/>
      <c r="BN256" s="1708"/>
      <c r="BO256" s="1708"/>
      <c r="BP256" s="1708"/>
      <c r="BQ256" s="1708"/>
      <c r="BR256" s="1708"/>
      <c r="BS256" s="1708"/>
      <c r="BT256" s="1708"/>
      <c r="BU256" s="1708"/>
      <c r="BV256" s="1708"/>
      <c r="BW256" s="1708"/>
      <c r="BX256" s="1708"/>
      <c r="BY256" s="1708"/>
      <c r="BZ256" s="1708"/>
      <c r="CA256" s="1708"/>
      <c r="CB256" s="1708"/>
      <c r="CC256" s="1708"/>
      <c r="CD256" s="1708"/>
      <c r="CE256" s="1708"/>
      <c r="CF256" s="1708"/>
      <c r="CG256" s="1708"/>
      <c r="CH256" s="1708"/>
      <c r="CI256" s="1708"/>
      <c r="CJ256" s="1708"/>
      <c r="CK256" s="1708"/>
      <c r="CL256" s="1708"/>
      <c r="CM256" s="1708"/>
      <c r="CN256" s="1708"/>
      <c r="CO256" s="1708"/>
      <c r="CP256" s="1708"/>
      <c r="CQ256" s="1708"/>
      <c r="CR256" s="1708"/>
      <c r="CS256" s="1708"/>
      <c r="CT256" s="1708"/>
      <c r="CU256" s="1708"/>
      <c r="CV256" s="1708"/>
      <c r="CW256" s="1708"/>
      <c r="CX256" s="1708"/>
      <c r="CY256" s="1708"/>
      <c r="CZ256" s="1708"/>
      <c r="DA256" s="1708"/>
      <c r="DB256" s="1708"/>
      <c r="DC256" s="1708"/>
      <c r="DD256" s="1708"/>
      <c r="DE256" s="1708"/>
      <c r="DF256" s="1708"/>
      <c r="DG256" s="1708"/>
      <c r="DH256" s="1708"/>
      <c r="DI256" s="1708"/>
      <c r="DJ256" s="1708"/>
      <c r="DK256" s="1708"/>
      <c r="DL256" s="1708"/>
      <c r="DM256" s="1708"/>
      <c r="DN256" s="1708"/>
      <c r="DO256" s="1708"/>
      <c r="DP256" s="1708"/>
      <c r="DQ256" s="1708"/>
      <c r="DR256" s="1708"/>
      <c r="DS256" s="1708"/>
      <c r="DT256" s="1708"/>
      <c r="DU256" s="1708"/>
      <c r="DV256" s="1708"/>
      <c r="DW256" s="1708"/>
      <c r="DX256" s="1708"/>
      <c r="DY256" s="1708"/>
      <c r="DZ256" s="1708"/>
      <c r="EA256" s="1708"/>
      <c r="EB256" s="1708"/>
      <c r="EC256" s="1708"/>
      <c r="ED256" s="1708"/>
      <c r="EE256" s="1708"/>
      <c r="EF256" s="1708"/>
      <c r="EG256" s="1708"/>
      <c r="EH256" s="1708"/>
      <c r="EI256" s="1708"/>
      <c r="EJ256" s="1708"/>
      <c r="EK256" s="1708"/>
      <c r="EL256" s="1708"/>
      <c r="EM256" s="1708"/>
      <c r="EN256" s="1708"/>
      <c r="EO256" s="1708"/>
      <c r="EP256" s="1708"/>
      <c r="EQ256" s="1708"/>
      <c r="ER256" s="1708"/>
      <c r="ES256" s="1708"/>
      <c r="ET256" s="1708"/>
      <c r="EU256" s="1708"/>
      <c r="EV256" s="1708"/>
      <c r="EW256" s="1708"/>
      <c r="EX256" s="1708"/>
      <c r="EY256" s="1708"/>
      <c r="EZ256" s="1708"/>
      <c r="FA256" s="1708"/>
      <c r="FB256" s="1708"/>
      <c r="FC256" s="1708"/>
      <c r="FD256" s="1708"/>
      <c r="FE256" s="1708"/>
      <c r="FF256" s="1708"/>
      <c r="FG256" s="1708"/>
      <c r="FH256" s="1708"/>
      <c r="FI256" s="1708"/>
      <c r="FJ256" s="1708"/>
      <c r="FK256" s="1708"/>
      <c r="FL256" s="1708"/>
      <c r="FM256" s="1708"/>
      <c r="FN256" s="1708"/>
      <c r="FO256" s="1708"/>
      <c r="FP256" s="1708"/>
      <c r="FQ256" s="1708"/>
      <c r="FR256" s="1708"/>
      <c r="FS256" s="1708"/>
      <c r="FT256" s="1708"/>
      <c r="FU256" s="1708"/>
      <c r="FV256" s="1708"/>
      <c r="FW256" s="1708"/>
      <c r="FX256" s="1708"/>
      <c r="FY256" s="1708"/>
      <c r="FZ256" s="1708"/>
      <c r="GA256" s="1708"/>
      <c r="GB256" s="1708"/>
      <c r="GC256" s="1708"/>
      <c r="GD256" s="1708"/>
      <c r="GE256" s="1708"/>
      <c r="GF256" s="1708"/>
      <c r="GG256" s="1708"/>
      <c r="GH256" s="1708"/>
      <c r="GI256" s="1708"/>
      <c r="GJ256" s="1708"/>
      <c r="GK256" s="1708"/>
      <c r="GL256" s="1708"/>
      <c r="GM256" s="1708"/>
      <c r="GN256" s="1708"/>
      <c r="GO256" s="1708"/>
      <c r="GP256" s="1708"/>
      <c r="GQ256" s="1708"/>
      <c r="GR256" s="1708"/>
      <c r="GS256" s="1708"/>
      <c r="GT256" s="1708"/>
      <c r="GU256" s="1708"/>
      <c r="GV256" s="1708"/>
      <c r="GW256" s="1708"/>
      <c r="GX256" s="1708"/>
      <c r="GY256" s="1708"/>
      <c r="GZ256" s="1708"/>
      <c r="HA256" s="1708"/>
      <c r="HB256" s="1708"/>
      <c r="HC256" s="1708"/>
      <c r="HD256" s="1708"/>
      <c r="HE256" s="1708"/>
      <c r="HF256" s="1708"/>
      <c r="HG256" s="1708"/>
      <c r="HH256" s="1708"/>
      <c r="HI256" s="1708"/>
      <c r="HJ256" s="1708"/>
      <c r="HK256" s="1708"/>
      <c r="HL256" s="1708"/>
      <c r="HM256" s="1708"/>
      <c r="HN256" s="1708"/>
      <c r="HO256" s="1708"/>
      <c r="HP256" s="1708"/>
      <c r="HQ256" s="1708"/>
      <c r="HR256" s="1708"/>
      <c r="HS256" s="1708"/>
      <c r="HT256" s="1708"/>
      <c r="HU256" s="1708"/>
      <c r="HV256" s="1708"/>
      <c r="HW256" s="1708"/>
      <c r="HX256" s="1708"/>
      <c r="HY256" s="1708"/>
      <c r="HZ256" s="1708"/>
      <c r="IA256" s="1708"/>
      <c r="IB256" s="1708"/>
      <c r="IC256" s="1708"/>
      <c r="ID256" s="1708"/>
      <c r="IE256" s="1708"/>
      <c r="IF256" s="1708"/>
      <c r="IG256" s="1708"/>
      <c r="IH256" s="1708"/>
      <c r="II256" s="1708"/>
      <c r="IJ256" s="1708"/>
      <c r="IK256" s="1708"/>
      <c r="IL256" s="1708"/>
      <c r="IM256" s="1708"/>
      <c r="IN256" s="1708"/>
      <c r="IO256" s="1708"/>
      <c r="IP256" s="1708"/>
      <c r="IQ256" s="1708"/>
      <c r="IR256" s="1708"/>
      <c r="IS256" s="1708"/>
      <c r="IT256" s="1708"/>
      <c r="IU256" s="1708"/>
      <c r="IV256" s="1708"/>
    </row>
    <row r="257" spans="2:256" s="57" customFormat="1" x14ac:dyDescent="0.25">
      <c r="B257" s="1836"/>
      <c r="G257" s="1849"/>
      <c r="J257" s="1850"/>
      <c r="K257" s="1850"/>
      <c r="S257" s="1708"/>
      <c r="T257" s="1708"/>
      <c r="U257" s="1708"/>
      <c r="V257" s="1708"/>
      <c r="W257" s="1708"/>
      <c r="X257" s="1708"/>
      <c r="Y257" s="1708"/>
      <c r="Z257" s="1708"/>
      <c r="AA257" s="1708"/>
      <c r="AB257" s="1708"/>
      <c r="AC257" s="1708"/>
      <c r="AD257" s="1708"/>
      <c r="AE257" s="1708"/>
      <c r="AF257" s="1708"/>
      <c r="AG257" s="1708"/>
      <c r="AH257" s="1708"/>
      <c r="AI257" s="1708"/>
      <c r="AJ257" s="1708"/>
      <c r="AK257" s="1708"/>
      <c r="AL257" s="1708"/>
      <c r="AM257" s="1708"/>
      <c r="AN257" s="1708"/>
      <c r="AO257" s="1708"/>
      <c r="AP257" s="1708"/>
      <c r="AQ257" s="1708"/>
      <c r="AR257" s="1708"/>
      <c r="AS257" s="1708"/>
      <c r="AT257" s="1708"/>
      <c r="AU257" s="1708"/>
      <c r="AV257" s="1708"/>
      <c r="AW257" s="1708"/>
      <c r="AX257" s="1708"/>
      <c r="AY257" s="1708"/>
      <c r="AZ257" s="1708"/>
      <c r="BA257" s="1708"/>
      <c r="BB257" s="1708"/>
      <c r="BC257" s="1708"/>
      <c r="BD257" s="1708"/>
      <c r="BE257" s="1708"/>
      <c r="BF257" s="1708"/>
      <c r="BG257" s="1708"/>
      <c r="BH257" s="1708"/>
      <c r="BI257" s="1708"/>
      <c r="BJ257" s="1708"/>
      <c r="BK257" s="1708"/>
      <c r="BL257" s="1708"/>
      <c r="BM257" s="1708"/>
      <c r="BN257" s="1708"/>
      <c r="BO257" s="1708"/>
      <c r="BP257" s="1708"/>
      <c r="BQ257" s="1708"/>
      <c r="BR257" s="1708"/>
      <c r="BS257" s="1708"/>
      <c r="BT257" s="1708"/>
      <c r="BU257" s="1708"/>
      <c r="BV257" s="1708"/>
      <c r="BW257" s="1708"/>
      <c r="BX257" s="1708"/>
      <c r="BY257" s="1708"/>
      <c r="BZ257" s="1708"/>
      <c r="CA257" s="1708"/>
      <c r="CB257" s="1708"/>
      <c r="CC257" s="1708"/>
      <c r="CD257" s="1708"/>
      <c r="CE257" s="1708"/>
      <c r="CF257" s="1708"/>
      <c r="CG257" s="1708"/>
      <c r="CH257" s="1708"/>
      <c r="CI257" s="1708"/>
      <c r="CJ257" s="1708"/>
      <c r="CK257" s="1708"/>
      <c r="CL257" s="1708"/>
      <c r="CM257" s="1708"/>
      <c r="CN257" s="1708"/>
      <c r="CO257" s="1708"/>
      <c r="CP257" s="1708"/>
      <c r="CQ257" s="1708"/>
      <c r="CR257" s="1708"/>
      <c r="CS257" s="1708"/>
      <c r="CT257" s="1708"/>
      <c r="CU257" s="1708"/>
      <c r="CV257" s="1708"/>
      <c r="CW257" s="1708"/>
      <c r="CX257" s="1708"/>
      <c r="CY257" s="1708"/>
      <c r="CZ257" s="1708"/>
      <c r="DA257" s="1708"/>
      <c r="DB257" s="1708"/>
      <c r="DC257" s="1708"/>
      <c r="DD257" s="1708"/>
      <c r="DE257" s="1708"/>
      <c r="DF257" s="1708"/>
      <c r="DG257" s="1708"/>
      <c r="DH257" s="1708"/>
      <c r="DI257" s="1708"/>
      <c r="DJ257" s="1708"/>
      <c r="DK257" s="1708"/>
      <c r="DL257" s="1708"/>
      <c r="DM257" s="1708"/>
      <c r="DN257" s="1708"/>
      <c r="DO257" s="1708"/>
      <c r="DP257" s="1708"/>
      <c r="DQ257" s="1708"/>
      <c r="DR257" s="1708"/>
      <c r="DS257" s="1708"/>
      <c r="DT257" s="1708"/>
      <c r="DU257" s="1708"/>
      <c r="DV257" s="1708"/>
      <c r="DW257" s="1708"/>
      <c r="DX257" s="1708"/>
      <c r="DY257" s="1708"/>
      <c r="DZ257" s="1708"/>
      <c r="EA257" s="1708"/>
      <c r="EB257" s="1708"/>
      <c r="EC257" s="1708"/>
      <c r="ED257" s="1708"/>
      <c r="EE257" s="1708"/>
      <c r="EF257" s="1708"/>
      <c r="EG257" s="1708"/>
      <c r="EH257" s="1708"/>
      <c r="EI257" s="1708"/>
      <c r="EJ257" s="1708"/>
      <c r="EK257" s="1708"/>
      <c r="EL257" s="1708"/>
      <c r="EM257" s="1708"/>
      <c r="EN257" s="1708"/>
      <c r="EO257" s="1708"/>
      <c r="EP257" s="1708"/>
      <c r="EQ257" s="1708"/>
      <c r="ER257" s="1708"/>
      <c r="ES257" s="1708"/>
      <c r="ET257" s="1708"/>
      <c r="EU257" s="1708"/>
      <c r="EV257" s="1708"/>
      <c r="EW257" s="1708"/>
      <c r="EX257" s="1708"/>
      <c r="EY257" s="1708"/>
      <c r="EZ257" s="1708"/>
      <c r="FA257" s="1708"/>
      <c r="FB257" s="1708"/>
      <c r="FC257" s="1708"/>
      <c r="FD257" s="1708"/>
      <c r="FE257" s="1708"/>
      <c r="FF257" s="1708"/>
      <c r="FG257" s="1708"/>
      <c r="FH257" s="1708"/>
      <c r="FI257" s="1708"/>
      <c r="FJ257" s="1708"/>
      <c r="FK257" s="1708"/>
      <c r="FL257" s="1708"/>
      <c r="FM257" s="1708"/>
      <c r="FN257" s="1708"/>
      <c r="FO257" s="1708"/>
      <c r="FP257" s="1708"/>
      <c r="FQ257" s="1708"/>
      <c r="FR257" s="1708"/>
      <c r="FS257" s="1708"/>
      <c r="FT257" s="1708"/>
      <c r="FU257" s="1708"/>
      <c r="FV257" s="1708"/>
      <c r="FW257" s="1708"/>
      <c r="FX257" s="1708"/>
      <c r="FY257" s="1708"/>
      <c r="FZ257" s="1708"/>
      <c r="GA257" s="1708"/>
      <c r="GB257" s="1708"/>
      <c r="GC257" s="1708"/>
      <c r="GD257" s="1708"/>
      <c r="GE257" s="1708"/>
      <c r="GF257" s="1708"/>
      <c r="GG257" s="1708"/>
      <c r="GH257" s="1708"/>
      <c r="GI257" s="1708"/>
      <c r="GJ257" s="1708"/>
      <c r="GK257" s="1708"/>
      <c r="GL257" s="1708"/>
      <c r="GM257" s="1708"/>
      <c r="GN257" s="1708"/>
      <c r="GO257" s="1708"/>
      <c r="GP257" s="1708"/>
      <c r="GQ257" s="1708"/>
      <c r="GR257" s="1708"/>
      <c r="GS257" s="1708"/>
      <c r="GT257" s="1708"/>
      <c r="GU257" s="1708"/>
      <c r="GV257" s="1708"/>
      <c r="GW257" s="1708"/>
      <c r="GX257" s="1708"/>
      <c r="GY257" s="1708"/>
      <c r="GZ257" s="1708"/>
      <c r="HA257" s="1708"/>
      <c r="HB257" s="1708"/>
      <c r="HC257" s="1708"/>
      <c r="HD257" s="1708"/>
      <c r="HE257" s="1708"/>
      <c r="HF257" s="1708"/>
      <c r="HG257" s="1708"/>
      <c r="HH257" s="1708"/>
      <c r="HI257" s="1708"/>
      <c r="HJ257" s="1708"/>
      <c r="HK257" s="1708"/>
      <c r="HL257" s="1708"/>
      <c r="HM257" s="1708"/>
      <c r="HN257" s="1708"/>
      <c r="HO257" s="1708"/>
      <c r="HP257" s="1708"/>
      <c r="HQ257" s="1708"/>
      <c r="HR257" s="1708"/>
      <c r="HS257" s="1708"/>
      <c r="HT257" s="1708"/>
      <c r="HU257" s="1708"/>
      <c r="HV257" s="1708"/>
      <c r="HW257" s="1708"/>
      <c r="HX257" s="1708"/>
      <c r="HY257" s="1708"/>
      <c r="HZ257" s="1708"/>
      <c r="IA257" s="1708"/>
      <c r="IB257" s="1708"/>
      <c r="IC257" s="1708"/>
      <c r="ID257" s="1708"/>
      <c r="IE257" s="1708"/>
      <c r="IF257" s="1708"/>
      <c r="IG257" s="1708"/>
      <c r="IH257" s="1708"/>
      <c r="II257" s="1708"/>
      <c r="IJ257" s="1708"/>
      <c r="IK257" s="1708"/>
      <c r="IL257" s="1708"/>
      <c r="IM257" s="1708"/>
      <c r="IN257" s="1708"/>
      <c r="IO257" s="1708"/>
      <c r="IP257" s="1708"/>
      <c r="IQ257" s="1708"/>
      <c r="IR257" s="1708"/>
      <c r="IS257" s="1708"/>
      <c r="IT257" s="1708"/>
      <c r="IU257" s="1708"/>
      <c r="IV257" s="1708"/>
    </row>
    <row r="258" spans="2:256" s="57" customFormat="1" x14ac:dyDescent="0.25">
      <c r="B258" s="1836"/>
      <c r="G258" s="1849"/>
      <c r="J258" s="1850"/>
      <c r="K258" s="1850"/>
      <c r="S258" s="1708"/>
      <c r="T258" s="1708"/>
      <c r="U258" s="1708"/>
      <c r="V258" s="1708"/>
      <c r="W258" s="1708"/>
      <c r="X258" s="1708"/>
      <c r="Y258" s="1708"/>
      <c r="Z258" s="1708"/>
      <c r="AA258" s="1708"/>
      <c r="AB258" s="1708"/>
      <c r="AC258" s="1708"/>
      <c r="AD258" s="1708"/>
      <c r="AE258" s="1708"/>
      <c r="AF258" s="1708"/>
      <c r="AG258" s="1708"/>
      <c r="AH258" s="1708"/>
      <c r="AI258" s="1708"/>
      <c r="AJ258" s="1708"/>
      <c r="AK258" s="1708"/>
      <c r="AL258" s="1708"/>
      <c r="AM258" s="1708"/>
      <c r="AN258" s="1708"/>
      <c r="AO258" s="1708"/>
      <c r="AP258" s="1708"/>
      <c r="AQ258" s="1708"/>
      <c r="AR258" s="1708"/>
      <c r="AS258" s="1708"/>
      <c r="AT258" s="1708"/>
      <c r="AU258" s="1708"/>
      <c r="AV258" s="1708"/>
      <c r="AW258" s="1708"/>
      <c r="AX258" s="1708"/>
      <c r="AY258" s="1708"/>
      <c r="AZ258" s="1708"/>
      <c r="BA258" s="1708"/>
      <c r="BB258" s="1708"/>
      <c r="BC258" s="1708"/>
      <c r="BD258" s="1708"/>
      <c r="BE258" s="1708"/>
      <c r="BF258" s="1708"/>
      <c r="BG258" s="1708"/>
      <c r="BH258" s="1708"/>
      <c r="BI258" s="1708"/>
      <c r="BJ258" s="1708"/>
      <c r="BK258" s="1708"/>
      <c r="BL258" s="1708"/>
      <c r="BM258" s="1708"/>
      <c r="BN258" s="1708"/>
      <c r="BO258" s="1708"/>
      <c r="BP258" s="1708"/>
      <c r="BQ258" s="1708"/>
      <c r="BR258" s="1708"/>
      <c r="BS258" s="1708"/>
      <c r="BT258" s="1708"/>
      <c r="BU258" s="1708"/>
      <c r="BV258" s="1708"/>
      <c r="BW258" s="1708"/>
      <c r="BX258" s="1708"/>
      <c r="BY258" s="1708"/>
      <c r="BZ258" s="1708"/>
      <c r="CA258" s="1708"/>
      <c r="CB258" s="1708"/>
      <c r="CC258" s="1708"/>
      <c r="CD258" s="1708"/>
      <c r="CE258" s="1708"/>
      <c r="CF258" s="1708"/>
      <c r="CG258" s="1708"/>
      <c r="CH258" s="1708"/>
      <c r="CI258" s="1708"/>
      <c r="CJ258" s="1708"/>
      <c r="CK258" s="1708"/>
      <c r="CL258" s="1708"/>
      <c r="CM258" s="1708"/>
      <c r="CN258" s="1708"/>
      <c r="CO258" s="1708"/>
      <c r="CP258" s="1708"/>
      <c r="CQ258" s="1708"/>
      <c r="CR258" s="1708"/>
      <c r="CS258" s="1708"/>
      <c r="CT258" s="1708"/>
      <c r="CU258" s="1708"/>
      <c r="CV258" s="1708"/>
      <c r="CW258" s="1708"/>
      <c r="CX258" s="1708"/>
      <c r="CY258" s="1708"/>
      <c r="CZ258" s="1708"/>
      <c r="DA258" s="1708"/>
      <c r="DB258" s="1708"/>
      <c r="DC258" s="1708"/>
      <c r="DD258" s="1708"/>
      <c r="DE258" s="1708"/>
      <c r="DF258" s="1708"/>
      <c r="DG258" s="1708"/>
      <c r="DH258" s="1708"/>
      <c r="DI258" s="1708"/>
      <c r="DJ258" s="1708"/>
      <c r="DK258" s="1708"/>
      <c r="DL258" s="1708"/>
      <c r="DM258" s="1708"/>
      <c r="DN258" s="1708"/>
      <c r="DO258" s="1708"/>
      <c r="DP258" s="1708"/>
      <c r="DQ258" s="1708"/>
      <c r="DR258" s="1708"/>
      <c r="DS258" s="1708"/>
      <c r="DT258" s="1708"/>
      <c r="DU258" s="1708"/>
      <c r="DV258" s="1708"/>
      <c r="DW258" s="1708"/>
      <c r="DX258" s="1708"/>
      <c r="DY258" s="1708"/>
      <c r="DZ258" s="1708"/>
      <c r="EA258" s="1708"/>
      <c r="EB258" s="1708"/>
      <c r="EC258" s="1708"/>
      <c r="ED258" s="1708"/>
      <c r="EE258" s="1708"/>
      <c r="EF258" s="1708"/>
      <c r="EG258" s="1708"/>
      <c r="EH258" s="1708"/>
      <c r="EI258" s="1708"/>
      <c r="EJ258" s="1708"/>
      <c r="EK258" s="1708"/>
      <c r="EL258" s="1708"/>
      <c r="EM258" s="1708"/>
      <c r="EN258" s="1708"/>
      <c r="EO258" s="1708"/>
      <c r="EP258" s="1708"/>
      <c r="EQ258" s="1708"/>
      <c r="ER258" s="1708"/>
      <c r="ES258" s="1708"/>
      <c r="ET258" s="1708"/>
      <c r="EU258" s="1708"/>
      <c r="EV258" s="1708"/>
      <c r="EW258" s="1708"/>
      <c r="EX258" s="1708"/>
      <c r="EY258" s="1708"/>
      <c r="EZ258" s="1708"/>
      <c r="FA258" s="1708"/>
      <c r="FB258" s="1708"/>
      <c r="FC258" s="1708"/>
      <c r="FD258" s="1708"/>
      <c r="FE258" s="1708"/>
      <c r="FF258" s="1708"/>
      <c r="FG258" s="1708"/>
      <c r="FH258" s="1708"/>
      <c r="FI258" s="1708"/>
      <c r="FJ258" s="1708"/>
      <c r="FK258" s="1708"/>
      <c r="FL258" s="1708"/>
      <c r="FM258" s="1708"/>
      <c r="FN258" s="1708"/>
      <c r="FO258" s="1708"/>
      <c r="FP258" s="1708"/>
      <c r="FQ258" s="1708"/>
      <c r="FR258" s="1708"/>
      <c r="FS258" s="1708"/>
      <c r="FT258" s="1708"/>
      <c r="FU258" s="1708"/>
      <c r="FV258" s="1708"/>
      <c r="FW258" s="1708"/>
      <c r="FX258" s="1708"/>
      <c r="FY258" s="1708"/>
      <c r="FZ258" s="1708"/>
      <c r="GA258" s="1708"/>
      <c r="GB258" s="1708"/>
      <c r="GC258" s="1708"/>
      <c r="GD258" s="1708"/>
      <c r="GE258" s="1708"/>
      <c r="GF258" s="1708"/>
      <c r="GG258" s="1708"/>
      <c r="GH258" s="1708"/>
      <c r="GI258" s="1708"/>
      <c r="GJ258" s="1708"/>
      <c r="GK258" s="1708"/>
      <c r="GL258" s="1708"/>
      <c r="GM258" s="1708"/>
      <c r="GN258" s="1708"/>
      <c r="GO258" s="1708"/>
      <c r="GP258" s="1708"/>
      <c r="GQ258" s="1708"/>
      <c r="GR258" s="1708"/>
      <c r="GS258" s="1708"/>
      <c r="GT258" s="1708"/>
      <c r="GU258" s="1708"/>
      <c r="GV258" s="1708"/>
      <c r="GW258" s="1708"/>
      <c r="GX258" s="1708"/>
      <c r="GY258" s="1708"/>
      <c r="GZ258" s="1708"/>
      <c r="HA258" s="1708"/>
      <c r="HB258" s="1708"/>
      <c r="HC258" s="1708"/>
      <c r="HD258" s="1708"/>
      <c r="HE258" s="1708"/>
      <c r="HF258" s="1708"/>
      <c r="HG258" s="1708"/>
      <c r="HH258" s="1708"/>
      <c r="HI258" s="1708"/>
      <c r="HJ258" s="1708"/>
      <c r="HK258" s="1708"/>
      <c r="HL258" s="1708"/>
      <c r="HM258" s="1708"/>
      <c r="HN258" s="1708"/>
      <c r="HO258" s="1708"/>
      <c r="HP258" s="1708"/>
      <c r="HQ258" s="1708"/>
      <c r="HR258" s="1708"/>
      <c r="HS258" s="1708"/>
      <c r="HT258" s="1708"/>
      <c r="HU258" s="1708"/>
      <c r="HV258" s="1708"/>
      <c r="HW258" s="1708"/>
      <c r="HX258" s="1708"/>
      <c r="HY258" s="1708"/>
      <c r="HZ258" s="1708"/>
      <c r="IA258" s="1708"/>
      <c r="IB258" s="1708"/>
      <c r="IC258" s="1708"/>
      <c r="ID258" s="1708"/>
      <c r="IE258" s="1708"/>
      <c r="IF258" s="1708"/>
      <c r="IG258" s="1708"/>
      <c r="IH258" s="1708"/>
      <c r="II258" s="1708"/>
      <c r="IJ258" s="1708"/>
      <c r="IK258" s="1708"/>
      <c r="IL258" s="1708"/>
      <c r="IM258" s="1708"/>
      <c r="IN258" s="1708"/>
      <c r="IO258" s="1708"/>
      <c r="IP258" s="1708"/>
      <c r="IQ258" s="1708"/>
      <c r="IR258" s="1708"/>
      <c r="IS258" s="1708"/>
      <c r="IT258" s="1708"/>
      <c r="IU258" s="1708"/>
      <c r="IV258" s="1708"/>
    </row>
    <row r="259" spans="2:256" s="57" customFormat="1" x14ac:dyDescent="0.25">
      <c r="B259" s="1836"/>
      <c r="G259" s="1849"/>
      <c r="J259" s="1850"/>
      <c r="K259" s="1850"/>
      <c r="S259" s="1708"/>
      <c r="T259" s="1708"/>
      <c r="U259" s="1708"/>
      <c r="V259" s="1708"/>
      <c r="W259" s="1708"/>
      <c r="X259" s="1708"/>
      <c r="Y259" s="1708"/>
      <c r="Z259" s="1708"/>
      <c r="AA259" s="1708"/>
      <c r="AB259" s="1708"/>
      <c r="AC259" s="1708"/>
      <c r="AD259" s="1708"/>
      <c r="AE259" s="1708"/>
      <c r="AF259" s="1708"/>
      <c r="AG259" s="1708"/>
      <c r="AH259" s="1708"/>
      <c r="AI259" s="1708"/>
      <c r="AJ259" s="1708"/>
      <c r="AK259" s="1708"/>
      <c r="AL259" s="1708"/>
      <c r="AM259" s="1708"/>
      <c r="AN259" s="1708"/>
      <c r="AO259" s="1708"/>
      <c r="AP259" s="1708"/>
      <c r="AQ259" s="1708"/>
      <c r="AR259" s="1708"/>
      <c r="AS259" s="1708"/>
      <c r="AT259" s="1708"/>
      <c r="AU259" s="1708"/>
      <c r="AV259" s="1708"/>
      <c r="AW259" s="1708"/>
      <c r="AX259" s="1708"/>
      <c r="AY259" s="1708"/>
      <c r="AZ259" s="1708"/>
      <c r="BA259" s="1708"/>
      <c r="BB259" s="1708"/>
      <c r="BC259" s="1708"/>
      <c r="BD259" s="1708"/>
      <c r="BE259" s="1708"/>
      <c r="BF259" s="1708"/>
      <c r="BG259" s="1708"/>
      <c r="BH259" s="1708"/>
      <c r="BI259" s="1708"/>
      <c r="BJ259" s="1708"/>
      <c r="BK259" s="1708"/>
      <c r="BL259" s="1708"/>
      <c r="BM259" s="1708"/>
      <c r="BN259" s="1708"/>
      <c r="BO259" s="1708"/>
      <c r="BP259" s="1708"/>
      <c r="BQ259" s="1708"/>
      <c r="BR259" s="1708"/>
      <c r="BS259" s="1708"/>
      <c r="BT259" s="1708"/>
      <c r="BU259" s="1708"/>
      <c r="BV259" s="1708"/>
      <c r="BW259" s="1708"/>
      <c r="BX259" s="1708"/>
      <c r="BY259" s="1708"/>
      <c r="BZ259" s="1708"/>
      <c r="CA259" s="1708"/>
      <c r="CB259" s="1708"/>
      <c r="CC259" s="1708"/>
      <c r="CD259" s="1708"/>
      <c r="CE259" s="1708"/>
      <c r="CF259" s="1708"/>
      <c r="CG259" s="1708"/>
      <c r="CH259" s="1708"/>
      <c r="CI259" s="1708"/>
      <c r="CJ259" s="1708"/>
      <c r="CK259" s="1708"/>
      <c r="CL259" s="1708"/>
      <c r="CM259" s="1708"/>
      <c r="CN259" s="1708"/>
      <c r="CO259" s="1708"/>
      <c r="CP259" s="1708"/>
      <c r="CQ259" s="1708"/>
      <c r="CR259" s="1708"/>
      <c r="CS259" s="1708"/>
      <c r="CT259" s="1708"/>
      <c r="CU259" s="1708"/>
      <c r="CV259" s="1708"/>
      <c r="CW259" s="1708"/>
      <c r="CX259" s="1708"/>
      <c r="CY259" s="1708"/>
      <c r="CZ259" s="1708"/>
      <c r="DA259" s="1708"/>
      <c r="DB259" s="1708"/>
      <c r="DC259" s="1708"/>
      <c r="DD259" s="1708"/>
      <c r="DE259" s="1708"/>
      <c r="DF259" s="1708"/>
      <c r="DG259" s="1708"/>
      <c r="DH259" s="1708"/>
      <c r="DI259" s="1708"/>
      <c r="DJ259" s="1708"/>
      <c r="DK259" s="1708"/>
      <c r="DL259" s="1708"/>
      <c r="DM259" s="1708"/>
      <c r="DN259" s="1708"/>
      <c r="DO259" s="1708"/>
      <c r="DP259" s="1708"/>
      <c r="DQ259" s="1708"/>
      <c r="DR259" s="1708"/>
      <c r="DS259" s="1708"/>
      <c r="DT259" s="1708"/>
      <c r="DU259" s="1708"/>
      <c r="DV259" s="1708"/>
      <c r="DW259" s="1708"/>
      <c r="DX259" s="1708"/>
      <c r="DY259" s="1708"/>
      <c r="DZ259" s="1708"/>
      <c r="EA259" s="1708"/>
      <c r="EB259" s="1708"/>
      <c r="EC259" s="1708"/>
      <c r="ED259" s="1708"/>
      <c r="EE259" s="1708"/>
      <c r="EF259" s="1708"/>
      <c r="EG259" s="1708"/>
      <c r="EH259" s="1708"/>
      <c r="EI259" s="1708"/>
      <c r="EJ259" s="1708"/>
      <c r="EK259" s="1708"/>
      <c r="EL259" s="1708"/>
      <c r="EM259" s="1708"/>
      <c r="EN259" s="1708"/>
      <c r="EO259" s="1708"/>
      <c r="EP259" s="1708"/>
      <c r="EQ259" s="1708"/>
      <c r="ER259" s="1708"/>
      <c r="ES259" s="1708"/>
      <c r="ET259" s="1708"/>
      <c r="EU259" s="1708"/>
      <c r="EV259" s="1708"/>
      <c r="EW259" s="1708"/>
      <c r="EX259" s="1708"/>
      <c r="EY259" s="1708"/>
      <c r="EZ259" s="1708"/>
      <c r="FA259" s="1708"/>
      <c r="FB259" s="1708"/>
      <c r="FC259" s="1708"/>
      <c r="FD259" s="1708"/>
      <c r="FE259" s="1708"/>
      <c r="FF259" s="1708"/>
      <c r="FG259" s="1708"/>
      <c r="FH259" s="1708"/>
      <c r="FI259" s="1708"/>
      <c r="FJ259" s="1708"/>
      <c r="FK259" s="1708"/>
      <c r="FL259" s="1708"/>
      <c r="FM259" s="1708"/>
      <c r="FN259" s="1708"/>
      <c r="FO259" s="1708"/>
      <c r="FP259" s="1708"/>
      <c r="FQ259" s="1708"/>
      <c r="FR259" s="1708"/>
      <c r="FS259" s="1708"/>
      <c r="FT259" s="1708"/>
      <c r="FU259" s="1708"/>
      <c r="FV259" s="1708"/>
      <c r="FW259" s="1708"/>
      <c r="FX259" s="1708"/>
      <c r="FY259" s="1708"/>
      <c r="FZ259" s="1708"/>
      <c r="GA259" s="1708"/>
      <c r="GB259" s="1708"/>
      <c r="GC259" s="1708"/>
      <c r="GD259" s="1708"/>
      <c r="GE259" s="1708"/>
      <c r="GF259" s="1708"/>
      <c r="GG259" s="1708"/>
      <c r="GH259" s="1708"/>
      <c r="GI259" s="1708"/>
      <c r="GJ259" s="1708"/>
      <c r="GK259" s="1708"/>
      <c r="GL259" s="1708"/>
      <c r="GM259" s="1708"/>
      <c r="GN259" s="1708"/>
      <c r="GO259" s="1708"/>
      <c r="GP259" s="1708"/>
      <c r="GQ259" s="1708"/>
      <c r="GR259" s="1708"/>
      <c r="GS259" s="1708"/>
      <c r="GT259" s="1708"/>
      <c r="GU259" s="1708"/>
      <c r="GV259" s="1708"/>
      <c r="GW259" s="1708"/>
      <c r="GX259" s="1708"/>
      <c r="GY259" s="1708"/>
      <c r="GZ259" s="1708"/>
      <c r="HA259" s="1708"/>
      <c r="HB259" s="1708"/>
      <c r="HC259" s="1708"/>
      <c r="HD259" s="1708"/>
      <c r="HE259" s="1708"/>
      <c r="HF259" s="1708"/>
      <c r="HG259" s="1708"/>
      <c r="HH259" s="1708"/>
      <c r="HI259" s="1708"/>
      <c r="HJ259" s="1708"/>
      <c r="HK259" s="1708"/>
      <c r="HL259" s="1708"/>
      <c r="HM259" s="1708"/>
      <c r="HN259" s="1708"/>
      <c r="HO259" s="1708"/>
      <c r="HP259" s="1708"/>
      <c r="HQ259" s="1708"/>
      <c r="HR259" s="1708"/>
      <c r="HS259" s="1708"/>
      <c r="HT259" s="1708"/>
      <c r="HU259" s="1708"/>
      <c r="HV259" s="1708"/>
      <c r="HW259" s="1708"/>
      <c r="HX259" s="1708"/>
      <c r="HY259" s="1708"/>
      <c r="HZ259" s="1708"/>
      <c r="IA259" s="1708"/>
      <c r="IB259" s="1708"/>
      <c r="IC259" s="1708"/>
      <c r="ID259" s="1708"/>
      <c r="IE259" s="1708"/>
      <c r="IF259" s="1708"/>
      <c r="IG259" s="1708"/>
      <c r="IH259" s="1708"/>
      <c r="II259" s="1708"/>
      <c r="IJ259" s="1708"/>
      <c r="IK259" s="1708"/>
      <c r="IL259" s="1708"/>
      <c r="IM259" s="1708"/>
      <c r="IN259" s="1708"/>
      <c r="IO259" s="1708"/>
      <c r="IP259" s="1708"/>
      <c r="IQ259" s="1708"/>
      <c r="IR259" s="1708"/>
      <c r="IS259" s="1708"/>
      <c r="IT259" s="1708"/>
      <c r="IU259" s="1708"/>
      <c r="IV259" s="1708"/>
    </row>
    <row r="260" spans="2:256" s="57" customFormat="1" x14ac:dyDescent="0.25">
      <c r="B260" s="1836"/>
      <c r="G260" s="1849"/>
      <c r="J260" s="1850"/>
      <c r="K260" s="1850"/>
      <c r="S260" s="1708"/>
      <c r="T260" s="1708"/>
      <c r="U260" s="1708"/>
      <c r="V260" s="1708"/>
      <c r="W260" s="1708"/>
      <c r="X260" s="1708"/>
      <c r="Y260" s="1708"/>
      <c r="Z260" s="1708"/>
      <c r="AA260" s="1708"/>
      <c r="AB260" s="1708"/>
      <c r="AC260" s="1708"/>
      <c r="AD260" s="1708"/>
      <c r="AE260" s="1708"/>
      <c r="AF260" s="1708"/>
      <c r="AG260" s="1708"/>
      <c r="AH260" s="1708"/>
      <c r="AI260" s="1708"/>
      <c r="AJ260" s="1708"/>
      <c r="AK260" s="1708"/>
      <c r="AL260" s="1708"/>
      <c r="AM260" s="1708"/>
      <c r="AN260" s="1708"/>
      <c r="AO260" s="1708"/>
      <c r="AP260" s="1708"/>
      <c r="AQ260" s="1708"/>
      <c r="AR260" s="1708"/>
      <c r="AS260" s="1708"/>
      <c r="AT260" s="1708"/>
      <c r="AU260" s="1708"/>
      <c r="AV260" s="1708"/>
      <c r="AW260" s="1708"/>
      <c r="AX260" s="1708"/>
      <c r="AY260" s="1708"/>
      <c r="AZ260" s="1708"/>
      <c r="BA260" s="1708"/>
      <c r="BB260" s="1708"/>
      <c r="BC260" s="1708"/>
      <c r="BD260" s="1708"/>
      <c r="BE260" s="1708"/>
      <c r="BF260" s="1708"/>
      <c r="BG260" s="1708"/>
      <c r="BH260" s="1708"/>
      <c r="BI260" s="1708"/>
      <c r="BJ260" s="1708"/>
      <c r="BK260" s="1708"/>
      <c r="BL260" s="1708"/>
      <c r="BM260" s="1708"/>
      <c r="BN260" s="1708"/>
      <c r="BO260" s="1708"/>
      <c r="BP260" s="1708"/>
      <c r="BQ260" s="1708"/>
      <c r="BR260" s="1708"/>
      <c r="BS260" s="1708"/>
      <c r="BT260" s="1708"/>
      <c r="BU260" s="1708"/>
      <c r="BV260" s="1708"/>
      <c r="BW260" s="1708"/>
      <c r="BX260" s="1708"/>
      <c r="BY260" s="1708"/>
      <c r="BZ260" s="1708"/>
      <c r="CA260" s="1708"/>
      <c r="CB260" s="1708"/>
      <c r="CC260" s="1708"/>
      <c r="CD260" s="1708"/>
      <c r="CE260" s="1708"/>
      <c r="CF260" s="1708"/>
      <c r="CG260" s="1708"/>
      <c r="CH260" s="1708"/>
      <c r="CI260" s="1708"/>
      <c r="CJ260" s="1708"/>
      <c r="CK260" s="1708"/>
      <c r="CL260" s="1708"/>
      <c r="CM260" s="1708"/>
      <c r="CN260" s="1708"/>
      <c r="CO260" s="1708"/>
      <c r="CP260" s="1708"/>
      <c r="CQ260" s="1708"/>
      <c r="CR260" s="1708"/>
      <c r="CS260" s="1708"/>
      <c r="CT260" s="1708"/>
      <c r="CU260" s="1708"/>
      <c r="CV260" s="1708"/>
      <c r="CW260" s="1708"/>
      <c r="CX260" s="1708"/>
      <c r="CY260" s="1708"/>
      <c r="CZ260" s="1708"/>
      <c r="DA260" s="1708"/>
      <c r="DB260" s="1708"/>
      <c r="DC260" s="1708"/>
      <c r="DD260" s="1708"/>
      <c r="DE260" s="1708"/>
      <c r="DF260" s="1708"/>
      <c r="DG260" s="1708"/>
      <c r="DH260" s="1708"/>
      <c r="DI260" s="1708"/>
      <c r="DJ260" s="1708"/>
      <c r="DK260" s="1708"/>
      <c r="DL260" s="1708"/>
      <c r="DM260" s="1708"/>
      <c r="DN260" s="1708"/>
      <c r="DO260" s="1708"/>
      <c r="DP260" s="1708"/>
      <c r="DQ260" s="1708"/>
      <c r="DR260" s="1708"/>
      <c r="DS260" s="1708"/>
      <c r="DT260" s="1708"/>
      <c r="DU260" s="1708"/>
      <c r="DV260" s="1708"/>
      <c r="DW260" s="1708"/>
      <c r="DX260" s="1708"/>
      <c r="DY260" s="1708"/>
      <c r="DZ260" s="1708"/>
      <c r="EA260" s="1708"/>
      <c r="EB260" s="1708"/>
      <c r="EC260" s="1708"/>
      <c r="ED260" s="1708"/>
      <c r="EE260" s="1708"/>
      <c r="EF260" s="1708"/>
      <c r="EG260" s="1708"/>
      <c r="EH260" s="1708"/>
      <c r="EI260" s="1708"/>
      <c r="EJ260" s="1708"/>
      <c r="EK260" s="1708"/>
      <c r="EL260" s="1708"/>
      <c r="EM260" s="1708"/>
      <c r="EN260" s="1708"/>
      <c r="EO260" s="1708"/>
      <c r="EP260" s="1708"/>
      <c r="EQ260" s="1708"/>
      <c r="ER260" s="1708"/>
      <c r="ES260" s="1708"/>
      <c r="ET260" s="1708"/>
      <c r="EU260" s="1708"/>
      <c r="EV260" s="1708"/>
      <c r="EW260" s="1708"/>
      <c r="EX260" s="1708"/>
      <c r="EY260" s="1708"/>
      <c r="EZ260" s="1708"/>
      <c r="FA260" s="1708"/>
      <c r="FB260" s="1708"/>
      <c r="FC260" s="1708"/>
      <c r="FD260" s="1708"/>
      <c r="FE260" s="1708"/>
      <c r="FF260" s="1708"/>
      <c r="FG260" s="1708"/>
      <c r="FH260" s="1708"/>
      <c r="FI260" s="1708"/>
      <c r="FJ260" s="1708"/>
      <c r="FK260" s="1708"/>
      <c r="FL260" s="1708"/>
      <c r="FM260" s="1708"/>
      <c r="FN260" s="1708"/>
      <c r="FO260" s="1708"/>
      <c r="FP260" s="1708"/>
      <c r="FQ260" s="1708"/>
      <c r="FR260" s="1708"/>
      <c r="FS260" s="1708"/>
      <c r="FT260" s="1708"/>
      <c r="FU260" s="1708"/>
      <c r="FV260" s="1708"/>
      <c r="FW260" s="1708"/>
      <c r="FX260" s="1708"/>
      <c r="FY260" s="1708"/>
      <c r="FZ260" s="1708"/>
      <c r="GA260" s="1708"/>
      <c r="GB260" s="1708"/>
      <c r="GC260" s="1708"/>
      <c r="GD260" s="1708"/>
      <c r="GE260" s="1708"/>
      <c r="GF260" s="1708"/>
      <c r="GG260" s="1708"/>
      <c r="GH260" s="1708"/>
      <c r="GI260" s="1708"/>
      <c r="GJ260" s="1708"/>
      <c r="GK260" s="1708"/>
      <c r="GL260" s="1708"/>
      <c r="GM260" s="1708"/>
      <c r="GN260" s="1708"/>
      <c r="GO260" s="1708"/>
      <c r="GP260" s="1708"/>
      <c r="GQ260" s="1708"/>
      <c r="GR260" s="1708"/>
      <c r="GS260" s="1708"/>
      <c r="GT260" s="1708"/>
      <c r="GU260" s="1708"/>
      <c r="GV260" s="1708"/>
      <c r="GW260" s="1708"/>
      <c r="GX260" s="1708"/>
      <c r="GY260" s="1708"/>
      <c r="GZ260" s="1708"/>
      <c r="HA260" s="1708"/>
      <c r="HB260" s="1708"/>
      <c r="HC260" s="1708"/>
      <c r="HD260" s="1708"/>
      <c r="HE260" s="1708"/>
      <c r="HF260" s="1708"/>
      <c r="HG260" s="1708"/>
      <c r="HH260" s="1708"/>
      <c r="HI260" s="1708"/>
      <c r="HJ260" s="1708"/>
      <c r="HK260" s="1708"/>
      <c r="HL260" s="1708"/>
      <c r="HM260" s="1708"/>
      <c r="HN260" s="1708"/>
      <c r="HO260" s="1708"/>
      <c r="HP260" s="1708"/>
      <c r="HQ260" s="1708"/>
      <c r="HR260" s="1708"/>
      <c r="HS260" s="1708"/>
      <c r="HT260" s="1708"/>
      <c r="HU260" s="1708"/>
      <c r="HV260" s="1708"/>
      <c r="HW260" s="1708"/>
      <c r="HX260" s="1708"/>
      <c r="HY260" s="1708"/>
      <c r="HZ260" s="1708"/>
      <c r="IA260" s="1708"/>
      <c r="IB260" s="1708"/>
      <c r="IC260" s="1708"/>
      <c r="ID260" s="1708"/>
      <c r="IE260" s="1708"/>
      <c r="IF260" s="1708"/>
      <c r="IG260" s="1708"/>
      <c r="IH260" s="1708"/>
      <c r="II260" s="1708"/>
      <c r="IJ260" s="1708"/>
      <c r="IK260" s="1708"/>
      <c r="IL260" s="1708"/>
      <c r="IM260" s="1708"/>
      <c r="IN260" s="1708"/>
      <c r="IO260" s="1708"/>
      <c r="IP260" s="1708"/>
      <c r="IQ260" s="1708"/>
      <c r="IR260" s="1708"/>
      <c r="IS260" s="1708"/>
      <c r="IT260" s="1708"/>
      <c r="IU260" s="1708"/>
      <c r="IV260" s="1708"/>
    </row>
    <row r="261" spans="2:256" s="57" customFormat="1" x14ac:dyDescent="0.25">
      <c r="B261" s="1836"/>
      <c r="G261" s="1849"/>
      <c r="J261" s="1850"/>
      <c r="K261" s="1850"/>
      <c r="S261" s="1708"/>
      <c r="T261" s="1708"/>
      <c r="U261" s="1708"/>
      <c r="V261" s="1708"/>
      <c r="W261" s="1708"/>
      <c r="X261" s="1708"/>
      <c r="Y261" s="1708"/>
      <c r="Z261" s="1708"/>
      <c r="AA261" s="1708"/>
      <c r="AB261" s="1708"/>
      <c r="AC261" s="1708"/>
      <c r="AD261" s="1708"/>
      <c r="AE261" s="1708"/>
      <c r="AF261" s="1708"/>
      <c r="AG261" s="1708"/>
      <c r="AH261" s="1708"/>
      <c r="AI261" s="1708"/>
      <c r="AJ261" s="1708"/>
      <c r="AK261" s="1708"/>
      <c r="AL261" s="1708"/>
      <c r="AM261" s="1708"/>
      <c r="AN261" s="1708"/>
      <c r="AO261" s="1708"/>
      <c r="AP261" s="1708"/>
      <c r="AQ261" s="1708"/>
      <c r="AR261" s="1708"/>
      <c r="AS261" s="1708"/>
      <c r="AT261" s="1708"/>
      <c r="AU261" s="1708"/>
      <c r="AV261" s="1708"/>
      <c r="AW261" s="1708"/>
      <c r="AX261" s="1708"/>
      <c r="AY261" s="1708"/>
      <c r="AZ261" s="1708"/>
      <c r="BA261" s="1708"/>
      <c r="BB261" s="1708"/>
      <c r="BC261" s="1708"/>
      <c r="BD261" s="1708"/>
      <c r="BE261" s="1708"/>
      <c r="BF261" s="1708"/>
      <c r="BG261" s="1708"/>
      <c r="BH261" s="1708"/>
      <c r="BI261" s="1708"/>
      <c r="BJ261" s="1708"/>
      <c r="BK261" s="1708"/>
      <c r="BL261" s="1708"/>
      <c r="BM261" s="1708"/>
      <c r="BN261" s="1708"/>
      <c r="BO261" s="1708"/>
      <c r="BP261" s="1708"/>
      <c r="BQ261" s="1708"/>
      <c r="BR261" s="1708"/>
      <c r="BS261" s="1708"/>
      <c r="BT261" s="1708"/>
      <c r="BU261" s="1708"/>
      <c r="BV261" s="1708"/>
      <c r="BW261" s="1708"/>
      <c r="BX261" s="1708"/>
      <c r="BY261" s="1708"/>
      <c r="BZ261" s="1708"/>
      <c r="CA261" s="1708"/>
      <c r="CB261" s="1708"/>
      <c r="CC261" s="1708"/>
      <c r="CD261" s="1708"/>
      <c r="CE261" s="1708"/>
      <c r="CF261" s="1708"/>
      <c r="CG261" s="1708"/>
      <c r="CH261" s="1708"/>
      <c r="CI261" s="1708"/>
      <c r="CJ261" s="1708"/>
      <c r="CK261" s="1708"/>
      <c r="CL261" s="1708"/>
      <c r="CM261" s="1708"/>
      <c r="CN261" s="1708"/>
      <c r="CO261" s="1708"/>
      <c r="CP261" s="1708"/>
      <c r="CQ261" s="1708"/>
      <c r="CR261" s="1708"/>
      <c r="CS261" s="1708"/>
      <c r="CT261" s="1708"/>
      <c r="CU261" s="1708"/>
      <c r="CV261" s="1708"/>
      <c r="CW261" s="1708"/>
      <c r="CX261" s="1708"/>
      <c r="CY261" s="1708"/>
      <c r="CZ261" s="1708"/>
      <c r="DA261" s="1708"/>
      <c r="DB261" s="1708"/>
      <c r="DC261" s="1708"/>
      <c r="DD261" s="1708"/>
      <c r="DE261" s="1708"/>
      <c r="DF261" s="1708"/>
      <c r="DG261" s="1708"/>
      <c r="DH261" s="1708"/>
      <c r="DI261" s="1708"/>
      <c r="DJ261" s="1708"/>
      <c r="DK261" s="1708"/>
      <c r="DL261" s="1708"/>
      <c r="DM261" s="1708"/>
      <c r="DN261" s="1708"/>
      <c r="DO261" s="1708"/>
      <c r="DP261" s="1708"/>
      <c r="DQ261" s="1708"/>
      <c r="DR261" s="1708"/>
      <c r="DS261" s="1708"/>
      <c r="DT261" s="1708"/>
      <c r="DU261" s="1708"/>
      <c r="DV261" s="1708"/>
      <c r="DW261" s="1708"/>
      <c r="DX261" s="1708"/>
      <c r="DY261" s="1708"/>
      <c r="DZ261" s="1708"/>
      <c r="EA261" s="1708"/>
      <c r="EB261" s="1708"/>
      <c r="EC261" s="1708"/>
      <c r="ED261" s="1708"/>
      <c r="EE261" s="1708"/>
      <c r="EF261" s="1708"/>
      <c r="EG261" s="1708"/>
      <c r="EH261" s="1708"/>
      <c r="EI261" s="1708"/>
      <c r="EJ261" s="1708"/>
      <c r="EK261" s="1708"/>
      <c r="EL261" s="1708"/>
      <c r="EM261" s="1708"/>
      <c r="EN261" s="1708"/>
      <c r="EO261" s="1708"/>
      <c r="EP261" s="1708"/>
      <c r="EQ261" s="1708"/>
      <c r="ER261" s="1708"/>
      <c r="ES261" s="1708"/>
      <c r="ET261" s="1708"/>
      <c r="EU261" s="1708"/>
      <c r="EV261" s="1708"/>
      <c r="EW261" s="1708"/>
      <c r="EX261" s="1708"/>
      <c r="EY261" s="1708"/>
      <c r="EZ261" s="1708"/>
      <c r="FA261" s="1708"/>
      <c r="FB261" s="1708"/>
      <c r="FC261" s="1708"/>
      <c r="FD261" s="1708"/>
      <c r="FE261" s="1708"/>
      <c r="FF261" s="1708"/>
      <c r="FG261" s="1708"/>
      <c r="FH261" s="1708"/>
      <c r="FI261" s="1708"/>
      <c r="FJ261" s="1708"/>
      <c r="FK261" s="1708"/>
      <c r="FL261" s="1708"/>
      <c r="FM261" s="1708"/>
      <c r="FN261" s="1708"/>
      <c r="FO261" s="1708"/>
      <c r="FP261" s="1708"/>
      <c r="FQ261" s="1708"/>
      <c r="FR261" s="1708"/>
      <c r="FS261" s="1708"/>
      <c r="FT261" s="1708"/>
      <c r="FU261" s="1708"/>
      <c r="FV261" s="1708"/>
      <c r="FW261" s="1708"/>
      <c r="FX261" s="1708"/>
      <c r="FY261" s="1708"/>
      <c r="FZ261" s="1708"/>
      <c r="GA261" s="1708"/>
      <c r="GB261" s="1708"/>
      <c r="GC261" s="1708"/>
      <c r="GD261" s="1708"/>
      <c r="GE261" s="1708"/>
      <c r="GF261" s="1708"/>
      <c r="GG261" s="1708"/>
      <c r="GH261" s="1708"/>
      <c r="GI261" s="1708"/>
      <c r="GJ261" s="1708"/>
      <c r="GK261" s="1708"/>
      <c r="GL261" s="1708"/>
      <c r="GM261" s="1708"/>
      <c r="GN261" s="1708"/>
      <c r="GO261" s="1708"/>
      <c r="GP261" s="1708"/>
      <c r="GQ261" s="1708"/>
      <c r="GR261" s="1708"/>
      <c r="GS261" s="1708"/>
      <c r="GT261" s="1708"/>
      <c r="GU261" s="1708"/>
      <c r="GV261" s="1708"/>
      <c r="GW261" s="1708"/>
      <c r="GX261" s="1708"/>
      <c r="GY261" s="1708"/>
      <c r="GZ261" s="1708"/>
      <c r="HA261" s="1708"/>
      <c r="HB261" s="1708"/>
      <c r="HC261" s="1708"/>
      <c r="HD261" s="1708"/>
      <c r="HE261" s="1708"/>
      <c r="HF261" s="1708"/>
      <c r="HG261" s="1708"/>
      <c r="HH261" s="1708"/>
      <c r="HI261" s="1708"/>
      <c r="HJ261" s="1708"/>
      <c r="HK261" s="1708"/>
      <c r="HL261" s="1708"/>
      <c r="HM261" s="1708"/>
      <c r="HN261" s="1708"/>
      <c r="HO261" s="1708"/>
      <c r="HP261" s="1708"/>
      <c r="HQ261" s="1708"/>
      <c r="HR261" s="1708"/>
      <c r="HS261" s="1708"/>
      <c r="HT261" s="1708"/>
      <c r="HU261" s="1708"/>
      <c r="HV261" s="1708"/>
      <c r="HW261" s="1708"/>
      <c r="HX261" s="1708"/>
      <c r="HY261" s="1708"/>
      <c r="HZ261" s="1708"/>
      <c r="IA261" s="1708"/>
      <c r="IB261" s="1708"/>
      <c r="IC261" s="1708"/>
      <c r="ID261" s="1708"/>
      <c r="IE261" s="1708"/>
      <c r="IF261" s="1708"/>
      <c r="IG261" s="1708"/>
      <c r="IH261" s="1708"/>
      <c r="II261" s="1708"/>
      <c r="IJ261" s="1708"/>
      <c r="IK261" s="1708"/>
      <c r="IL261" s="1708"/>
      <c r="IM261" s="1708"/>
      <c r="IN261" s="1708"/>
      <c r="IO261" s="1708"/>
      <c r="IP261" s="1708"/>
      <c r="IQ261" s="1708"/>
      <c r="IR261" s="1708"/>
      <c r="IS261" s="1708"/>
      <c r="IT261" s="1708"/>
      <c r="IU261" s="1708"/>
      <c r="IV261" s="1708"/>
    </row>
    <row r="262" spans="2:256" s="57" customFormat="1" x14ac:dyDescent="0.25">
      <c r="B262" s="1836"/>
      <c r="G262" s="1849"/>
      <c r="J262" s="1850"/>
      <c r="K262" s="1850"/>
      <c r="S262" s="1708"/>
      <c r="T262" s="1708"/>
      <c r="U262" s="1708"/>
      <c r="V262" s="1708"/>
      <c r="W262" s="1708"/>
      <c r="X262" s="1708"/>
      <c r="Y262" s="1708"/>
      <c r="Z262" s="1708"/>
      <c r="AA262" s="1708"/>
      <c r="AB262" s="1708"/>
      <c r="AC262" s="1708"/>
      <c r="AD262" s="1708"/>
      <c r="AE262" s="1708"/>
      <c r="AF262" s="1708"/>
      <c r="AG262" s="1708"/>
      <c r="AH262" s="1708"/>
      <c r="AI262" s="1708"/>
      <c r="AJ262" s="1708"/>
      <c r="AK262" s="1708"/>
      <c r="AL262" s="1708"/>
      <c r="AM262" s="1708"/>
      <c r="AN262" s="1708"/>
      <c r="AO262" s="1708"/>
      <c r="AP262" s="1708"/>
      <c r="AQ262" s="1708"/>
      <c r="AR262" s="1708"/>
      <c r="AS262" s="1708"/>
      <c r="AT262" s="1708"/>
      <c r="AU262" s="1708"/>
      <c r="AV262" s="1708"/>
      <c r="AW262" s="1708"/>
      <c r="AX262" s="1708"/>
      <c r="AY262" s="1708"/>
      <c r="AZ262" s="1708"/>
      <c r="BA262" s="1708"/>
      <c r="BB262" s="1708"/>
      <c r="BC262" s="1708"/>
      <c r="BD262" s="1708"/>
      <c r="BE262" s="1708"/>
      <c r="BF262" s="1708"/>
      <c r="BG262" s="1708"/>
      <c r="BH262" s="1708"/>
      <c r="BI262" s="1708"/>
      <c r="BJ262" s="1708"/>
      <c r="BK262" s="1708"/>
      <c r="BL262" s="1708"/>
      <c r="BM262" s="1708"/>
      <c r="BN262" s="1708"/>
      <c r="BO262" s="1708"/>
      <c r="BP262" s="1708"/>
      <c r="BQ262" s="1708"/>
      <c r="BR262" s="1708"/>
      <c r="BS262" s="1708"/>
      <c r="BT262" s="1708"/>
      <c r="BU262" s="1708"/>
      <c r="BV262" s="1708"/>
      <c r="BW262" s="1708"/>
      <c r="BX262" s="1708"/>
      <c r="BY262" s="1708"/>
      <c r="BZ262" s="1708"/>
      <c r="CA262" s="1708"/>
      <c r="CB262" s="1708"/>
      <c r="CC262" s="1708"/>
      <c r="CD262" s="1708"/>
      <c r="CE262" s="1708"/>
      <c r="CF262" s="1708"/>
      <c r="CG262" s="1708"/>
      <c r="CH262" s="1708"/>
      <c r="CI262" s="1708"/>
      <c r="CJ262" s="1708"/>
      <c r="CK262" s="1708"/>
      <c r="CL262" s="1708"/>
      <c r="CM262" s="1708"/>
      <c r="CN262" s="1708"/>
      <c r="CO262" s="1708"/>
      <c r="CP262" s="1708"/>
      <c r="CQ262" s="1708"/>
      <c r="CR262" s="1708"/>
      <c r="CS262" s="1708"/>
      <c r="CT262" s="1708"/>
      <c r="CU262" s="1708"/>
      <c r="CV262" s="1708"/>
      <c r="CW262" s="1708"/>
      <c r="CX262" s="1708"/>
      <c r="CY262" s="1708"/>
      <c r="CZ262" s="1708"/>
      <c r="DA262" s="1708"/>
      <c r="DB262" s="1708"/>
      <c r="DC262" s="1708"/>
      <c r="DD262" s="1708"/>
      <c r="DE262" s="1708"/>
      <c r="DF262" s="1708"/>
      <c r="DG262" s="1708"/>
      <c r="DH262" s="1708"/>
      <c r="DI262" s="1708"/>
      <c r="DJ262" s="1708"/>
      <c r="DK262" s="1708"/>
      <c r="DL262" s="1708"/>
      <c r="DM262" s="1708"/>
      <c r="DN262" s="1708"/>
      <c r="DO262" s="1708"/>
      <c r="DP262" s="1708"/>
      <c r="DQ262" s="1708"/>
      <c r="DR262" s="1708"/>
      <c r="DS262" s="1708"/>
      <c r="DT262" s="1708"/>
      <c r="DU262" s="1708"/>
      <c r="DV262" s="1708"/>
      <c r="DW262" s="1708"/>
      <c r="DX262" s="1708"/>
      <c r="DY262" s="1708"/>
      <c r="DZ262" s="1708"/>
      <c r="EA262" s="1708"/>
      <c r="EB262" s="1708"/>
      <c r="EC262" s="1708"/>
      <c r="ED262" s="1708"/>
      <c r="EE262" s="1708"/>
      <c r="EF262" s="1708"/>
      <c r="EG262" s="1708"/>
      <c r="EH262" s="1708"/>
      <c r="EI262" s="1708"/>
      <c r="EJ262" s="1708"/>
      <c r="EK262" s="1708"/>
      <c r="EL262" s="1708"/>
      <c r="EM262" s="1708"/>
      <c r="EN262" s="1708"/>
      <c r="EO262" s="1708"/>
      <c r="EP262" s="1708"/>
      <c r="EQ262" s="1708"/>
      <c r="ER262" s="1708"/>
      <c r="ES262" s="1708"/>
      <c r="ET262" s="1708"/>
      <c r="EU262" s="1708"/>
      <c r="EV262" s="1708"/>
      <c r="EW262" s="1708"/>
      <c r="EX262" s="1708"/>
      <c r="EY262" s="1708"/>
      <c r="EZ262" s="1708"/>
      <c r="FA262" s="1708"/>
      <c r="FB262" s="1708"/>
      <c r="FC262" s="1708"/>
      <c r="FD262" s="1708"/>
      <c r="FE262" s="1708"/>
      <c r="FF262" s="1708"/>
      <c r="FG262" s="1708"/>
      <c r="FH262" s="1708"/>
      <c r="FI262" s="1708"/>
      <c r="FJ262" s="1708"/>
      <c r="FK262" s="1708"/>
      <c r="FL262" s="1708"/>
      <c r="FM262" s="1708"/>
      <c r="FN262" s="1708"/>
      <c r="FO262" s="1708"/>
      <c r="FP262" s="1708"/>
      <c r="FQ262" s="1708"/>
      <c r="FR262" s="1708"/>
      <c r="FS262" s="1708"/>
      <c r="FT262" s="1708"/>
      <c r="FU262" s="1708"/>
      <c r="FV262" s="1708"/>
      <c r="FW262" s="1708"/>
      <c r="FX262" s="1708"/>
      <c r="FY262" s="1708"/>
      <c r="FZ262" s="1708"/>
      <c r="GA262" s="1708"/>
      <c r="GB262" s="1708"/>
      <c r="GC262" s="1708"/>
      <c r="GD262" s="1708"/>
      <c r="GE262" s="1708"/>
      <c r="GF262" s="1708"/>
      <c r="GG262" s="1708"/>
      <c r="GH262" s="1708"/>
      <c r="GI262" s="1708"/>
      <c r="GJ262" s="1708"/>
      <c r="GK262" s="1708"/>
      <c r="GL262" s="1708"/>
      <c r="GM262" s="1708"/>
      <c r="GN262" s="1708"/>
      <c r="GO262" s="1708"/>
      <c r="GP262" s="1708"/>
      <c r="GQ262" s="1708"/>
      <c r="GR262" s="1708"/>
      <c r="GS262" s="1708"/>
      <c r="GT262" s="1708"/>
      <c r="GU262" s="1708"/>
      <c r="GV262" s="1708"/>
      <c r="GW262" s="1708"/>
      <c r="GX262" s="1708"/>
      <c r="GY262" s="1708"/>
      <c r="GZ262" s="1708"/>
      <c r="HA262" s="1708"/>
      <c r="HB262" s="1708"/>
      <c r="HC262" s="1708"/>
      <c r="HD262" s="1708"/>
      <c r="HE262" s="1708"/>
      <c r="HF262" s="1708"/>
      <c r="HG262" s="1708"/>
      <c r="HH262" s="1708"/>
      <c r="HI262" s="1708"/>
      <c r="HJ262" s="1708"/>
      <c r="HK262" s="1708"/>
      <c r="HL262" s="1708"/>
      <c r="HM262" s="1708"/>
      <c r="HN262" s="1708"/>
      <c r="HO262" s="1708"/>
      <c r="HP262" s="1708"/>
      <c r="HQ262" s="1708"/>
      <c r="HR262" s="1708"/>
      <c r="HS262" s="1708"/>
      <c r="HT262" s="1708"/>
      <c r="HU262" s="1708"/>
      <c r="HV262" s="1708"/>
      <c r="HW262" s="1708"/>
      <c r="HX262" s="1708"/>
      <c r="HY262" s="1708"/>
      <c r="HZ262" s="1708"/>
      <c r="IA262" s="1708"/>
      <c r="IB262" s="1708"/>
      <c r="IC262" s="1708"/>
      <c r="ID262" s="1708"/>
      <c r="IE262" s="1708"/>
      <c r="IF262" s="1708"/>
      <c r="IG262" s="1708"/>
      <c r="IH262" s="1708"/>
      <c r="II262" s="1708"/>
      <c r="IJ262" s="1708"/>
      <c r="IK262" s="1708"/>
      <c r="IL262" s="1708"/>
      <c r="IM262" s="1708"/>
      <c r="IN262" s="1708"/>
      <c r="IO262" s="1708"/>
      <c r="IP262" s="1708"/>
      <c r="IQ262" s="1708"/>
      <c r="IR262" s="1708"/>
      <c r="IS262" s="1708"/>
      <c r="IT262" s="1708"/>
      <c r="IU262" s="1708"/>
      <c r="IV262" s="1708"/>
    </row>
    <row r="263" spans="2:256" s="57" customFormat="1" x14ac:dyDescent="0.25">
      <c r="B263" s="1836"/>
      <c r="G263" s="1849"/>
      <c r="J263" s="1850"/>
      <c r="K263" s="1850"/>
      <c r="S263" s="1708"/>
      <c r="T263" s="1708"/>
      <c r="U263" s="1708"/>
      <c r="V263" s="1708"/>
      <c r="W263" s="1708"/>
      <c r="X263" s="1708"/>
      <c r="Y263" s="1708"/>
      <c r="Z263" s="1708"/>
      <c r="AA263" s="1708"/>
      <c r="AB263" s="1708"/>
      <c r="AC263" s="1708"/>
      <c r="AD263" s="1708"/>
      <c r="AE263" s="1708"/>
      <c r="AF263" s="1708"/>
      <c r="AG263" s="1708"/>
      <c r="AH263" s="1708"/>
      <c r="AI263" s="1708"/>
      <c r="AJ263" s="1708"/>
      <c r="AK263" s="1708"/>
      <c r="AL263" s="1708"/>
      <c r="AM263" s="1708"/>
      <c r="AN263" s="1708"/>
      <c r="AO263" s="1708"/>
      <c r="AP263" s="1708"/>
      <c r="AQ263" s="1708"/>
      <c r="AR263" s="1708"/>
      <c r="AS263" s="1708"/>
      <c r="AT263" s="1708"/>
      <c r="AU263" s="1708"/>
      <c r="AV263" s="1708"/>
      <c r="AW263" s="1708"/>
      <c r="AX263" s="1708"/>
      <c r="AY263" s="1708"/>
      <c r="AZ263" s="1708"/>
      <c r="BA263" s="1708"/>
      <c r="BB263" s="1708"/>
      <c r="BC263" s="1708"/>
      <c r="BD263" s="1708"/>
      <c r="BE263" s="1708"/>
      <c r="BF263" s="1708"/>
      <c r="BG263" s="1708"/>
      <c r="BH263" s="1708"/>
      <c r="BI263" s="1708"/>
      <c r="BJ263" s="1708"/>
      <c r="BK263" s="1708"/>
      <c r="BL263" s="1708"/>
      <c r="BM263" s="1708"/>
      <c r="BN263" s="1708"/>
      <c r="BO263" s="1708"/>
      <c r="BP263" s="1708"/>
      <c r="BQ263" s="1708"/>
      <c r="BR263" s="1708"/>
      <c r="BS263" s="1708"/>
      <c r="BT263" s="1708"/>
      <c r="BU263" s="1708"/>
      <c r="BV263" s="1708"/>
      <c r="BW263" s="1708"/>
      <c r="BX263" s="1708"/>
      <c r="BY263" s="1708"/>
      <c r="BZ263" s="1708"/>
      <c r="CA263" s="1708"/>
      <c r="CB263" s="1708"/>
      <c r="CC263" s="1708"/>
      <c r="CD263" s="1708"/>
      <c r="CE263" s="1708"/>
      <c r="CF263" s="1708"/>
      <c r="CG263" s="1708"/>
      <c r="CH263" s="1708"/>
      <c r="CI263" s="1708"/>
      <c r="CJ263" s="1708"/>
      <c r="CK263" s="1708"/>
      <c r="CL263" s="1708"/>
      <c r="CM263" s="1708"/>
      <c r="CN263" s="1708"/>
      <c r="CO263" s="1708"/>
      <c r="CP263" s="1708"/>
      <c r="CQ263" s="1708"/>
      <c r="CR263" s="1708"/>
      <c r="CS263" s="1708"/>
      <c r="CT263" s="1708"/>
      <c r="CU263" s="1708"/>
      <c r="CV263" s="1708"/>
      <c r="CW263" s="1708"/>
      <c r="CX263" s="1708"/>
      <c r="CY263" s="1708"/>
      <c r="CZ263" s="1708"/>
      <c r="DA263" s="1708"/>
      <c r="DB263" s="1708"/>
      <c r="DC263" s="1708"/>
      <c r="DD263" s="1708"/>
      <c r="DE263" s="1708"/>
      <c r="DF263" s="1708"/>
      <c r="DG263" s="1708"/>
      <c r="DH263" s="1708"/>
      <c r="DI263" s="1708"/>
      <c r="DJ263" s="1708"/>
      <c r="DK263" s="1708"/>
      <c r="DL263" s="1708"/>
      <c r="DM263" s="1708"/>
      <c r="DN263" s="1708"/>
      <c r="DO263" s="1708"/>
      <c r="DP263" s="1708"/>
      <c r="DQ263" s="1708"/>
      <c r="DR263" s="1708"/>
      <c r="DS263" s="1708"/>
      <c r="DT263" s="1708"/>
      <c r="DU263" s="1708"/>
      <c r="DV263" s="1708"/>
      <c r="DW263" s="1708"/>
      <c r="DX263" s="1708"/>
      <c r="DY263" s="1708"/>
      <c r="DZ263" s="1708"/>
      <c r="EA263" s="1708"/>
      <c r="EB263" s="1708"/>
      <c r="EC263" s="1708"/>
      <c r="ED263" s="1708"/>
      <c r="EE263" s="1708"/>
      <c r="EF263" s="1708"/>
      <c r="EG263" s="1708"/>
      <c r="EH263" s="1708"/>
      <c r="EI263" s="1708"/>
      <c r="EJ263" s="1708"/>
      <c r="EK263" s="1708"/>
      <c r="EL263" s="1708"/>
      <c r="EM263" s="1708"/>
      <c r="EN263" s="1708"/>
      <c r="EO263" s="1708"/>
      <c r="EP263" s="1708"/>
      <c r="EQ263" s="1708"/>
      <c r="ER263" s="1708"/>
      <c r="ES263" s="1708"/>
      <c r="ET263" s="1708"/>
      <c r="EU263" s="1708"/>
      <c r="EV263" s="1708"/>
      <c r="EW263" s="1708"/>
      <c r="EX263" s="1708"/>
      <c r="EY263" s="1708"/>
      <c r="EZ263" s="1708"/>
      <c r="FA263" s="1708"/>
      <c r="FB263" s="1708"/>
      <c r="FC263" s="1708"/>
      <c r="FD263" s="1708"/>
      <c r="FE263" s="1708"/>
      <c r="FF263" s="1708"/>
      <c r="FG263" s="1708"/>
      <c r="FH263" s="1708"/>
      <c r="FI263" s="1708"/>
      <c r="FJ263" s="1708"/>
      <c r="FK263" s="1708"/>
      <c r="FL263" s="1708"/>
      <c r="FM263" s="1708"/>
      <c r="FN263" s="1708"/>
      <c r="FO263" s="1708"/>
      <c r="FP263" s="1708"/>
      <c r="FQ263" s="1708"/>
      <c r="FR263" s="1708"/>
      <c r="FS263" s="1708"/>
      <c r="FT263" s="1708"/>
      <c r="FU263" s="1708"/>
      <c r="FV263" s="1708"/>
      <c r="FW263" s="1708"/>
      <c r="FX263" s="1708"/>
      <c r="FY263" s="1708"/>
      <c r="FZ263" s="1708"/>
      <c r="GA263" s="1708"/>
      <c r="GB263" s="1708"/>
      <c r="GC263" s="1708"/>
      <c r="GD263" s="1708"/>
      <c r="GE263" s="1708"/>
      <c r="GF263" s="1708"/>
      <c r="GG263" s="1708"/>
      <c r="GH263" s="1708"/>
      <c r="GI263" s="1708"/>
      <c r="GJ263" s="1708"/>
      <c r="GK263" s="1708"/>
      <c r="GL263" s="1708"/>
      <c r="GM263" s="1708"/>
      <c r="GN263" s="1708"/>
      <c r="GO263" s="1708"/>
      <c r="GP263" s="1708"/>
      <c r="GQ263" s="1708"/>
      <c r="GR263" s="1708"/>
      <c r="GS263" s="1708"/>
      <c r="GT263" s="1708"/>
      <c r="GU263" s="1708"/>
      <c r="GV263" s="1708"/>
      <c r="GW263" s="1708"/>
      <c r="GX263" s="1708"/>
      <c r="GY263" s="1708"/>
      <c r="GZ263" s="1708"/>
      <c r="HA263" s="1708"/>
      <c r="HB263" s="1708"/>
      <c r="HC263" s="1708"/>
      <c r="HD263" s="1708"/>
      <c r="HE263" s="1708"/>
      <c r="HF263" s="1708"/>
      <c r="HG263" s="1708"/>
      <c r="HH263" s="1708"/>
      <c r="HI263" s="1708"/>
      <c r="HJ263" s="1708"/>
      <c r="HK263" s="1708"/>
      <c r="HL263" s="1708"/>
      <c r="HM263" s="1708"/>
      <c r="HN263" s="1708"/>
      <c r="HO263" s="1708"/>
      <c r="HP263" s="1708"/>
      <c r="HQ263" s="1708"/>
      <c r="HR263" s="1708"/>
      <c r="HS263" s="1708"/>
      <c r="HT263" s="1708"/>
      <c r="HU263" s="1708"/>
      <c r="HV263" s="1708"/>
      <c r="HW263" s="1708"/>
      <c r="HX263" s="1708"/>
      <c r="HY263" s="1708"/>
      <c r="HZ263" s="1708"/>
      <c r="IA263" s="1708"/>
      <c r="IB263" s="1708"/>
      <c r="IC263" s="1708"/>
      <c r="ID263" s="1708"/>
      <c r="IE263" s="1708"/>
      <c r="IF263" s="1708"/>
      <c r="IG263" s="1708"/>
      <c r="IH263" s="1708"/>
      <c r="II263" s="1708"/>
      <c r="IJ263" s="1708"/>
      <c r="IK263" s="1708"/>
      <c r="IL263" s="1708"/>
      <c r="IM263" s="1708"/>
      <c r="IN263" s="1708"/>
      <c r="IO263" s="1708"/>
      <c r="IP263" s="1708"/>
      <c r="IQ263" s="1708"/>
      <c r="IR263" s="1708"/>
      <c r="IS263" s="1708"/>
      <c r="IT263" s="1708"/>
      <c r="IU263" s="1708"/>
      <c r="IV263" s="1708"/>
    </row>
    <row r="264" spans="2:256" s="57" customFormat="1" x14ac:dyDescent="0.25">
      <c r="B264" s="1836"/>
      <c r="G264" s="1849"/>
      <c r="J264" s="1850"/>
      <c r="K264" s="1850"/>
      <c r="S264" s="1708"/>
      <c r="T264" s="1708"/>
      <c r="U264" s="1708"/>
      <c r="V264" s="1708"/>
      <c r="W264" s="1708"/>
      <c r="X264" s="1708"/>
      <c r="Y264" s="1708"/>
      <c r="Z264" s="1708"/>
      <c r="AA264" s="1708"/>
      <c r="AB264" s="1708"/>
      <c r="AC264" s="1708"/>
      <c r="AD264" s="1708"/>
      <c r="AE264" s="1708"/>
      <c r="AF264" s="1708"/>
      <c r="AG264" s="1708"/>
      <c r="AH264" s="1708"/>
      <c r="AI264" s="1708"/>
      <c r="AJ264" s="1708"/>
      <c r="AK264" s="1708"/>
      <c r="AL264" s="1708"/>
      <c r="AM264" s="1708"/>
      <c r="AN264" s="1708"/>
      <c r="AO264" s="1708"/>
      <c r="AP264" s="1708"/>
      <c r="AQ264" s="1708"/>
      <c r="AR264" s="1708"/>
      <c r="AS264" s="1708"/>
      <c r="AT264" s="1708"/>
      <c r="AU264" s="1708"/>
      <c r="AV264" s="1708"/>
      <c r="AW264" s="1708"/>
      <c r="AX264" s="1708"/>
      <c r="AY264" s="1708"/>
      <c r="AZ264" s="1708"/>
      <c r="BA264" s="1708"/>
      <c r="BB264" s="1708"/>
      <c r="BC264" s="1708"/>
      <c r="BD264" s="1708"/>
      <c r="BE264" s="1708"/>
      <c r="BF264" s="1708"/>
      <c r="BG264" s="1708"/>
      <c r="BH264" s="1708"/>
      <c r="BI264" s="1708"/>
      <c r="BJ264" s="1708"/>
      <c r="BK264" s="1708"/>
      <c r="BL264" s="1708"/>
      <c r="BM264" s="1708"/>
      <c r="BN264" s="1708"/>
      <c r="BO264" s="1708"/>
      <c r="BP264" s="1708"/>
      <c r="BQ264" s="1708"/>
      <c r="BR264" s="1708"/>
      <c r="BS264" s="1708"/>
      <c r="BT264" s="1708"/>
      <c r="BU264" s="1708"/>
      <c r="BV264" s="1708"/>
      <c r="BW264" s="1708"/>
      <c r="BX264" s="1708"/>
      <c r="BY264" s="1708"/>
      <c r="BZ264" s="1708"/>
      <c r="CA264" s="1708"/>
      <c r="CB264" s="1708"/>
      <c r="CC264" s="1708"/>
      <c r="CD264" s="1708"/>
      <c r="CE264" s="1708"/>
      <c r="CF264" s="1708"/>
      <c r="CG264" s="1708"/>
      <c r="CH264" s="1708"/>
      <c r="CI264" s="1708"/>
      <c r="CJ264" s="1708"/>
      <c r="CK264" s="1708"/>
      <c r="CL264" s="1708"/>
      <c r="CM264" s="1708"/>
      <c r="CN264" s="1708"/>
      <c r="CO264" s="1708"/>
      <c r="CP264" s="1708"/>
      <c r="CQ264" s="1708"/>
      <c r="CR264" s="1708"/>
      <c r="CS264" s="1708"/>
      <c r="CT264" s="1708"/>
      <c r="CU264" s="1708"/>
      <c r="CV264" s="1708"/>
      <c r="CW264" s="1708"/>
      <c r="CX264" s="1708"/>
      <c r="CY264" s="1708"/>
      <c r="CZ264" s="1708"/>
      <c r="DA264" s="1708"/>
      <c r="DB264" s="1708"/>
      <c r="DC264" s="1708"/>
      <c r="DD264" s="1708"/>
      <c r="DE264" s="1708"/>
      <c r="DF264" s="1708"/>
      <c r="DG264" s="1708"/>
      <c r="DH264" s="1708"/>
      <c r="DI264" s="1708"/>
      <c r="DJ264" s="1708"/>
      <c r="DK264" s="1708"/>
      <c r="DL264" s="1708"/>
      <c r="DM264" s="1708"/>
      <c r="DN264" s="1708"/>
      <c r="DO264" s="1708"/>
      <c r="DP264" s="1708"/>
      <c r="DQ264" s="1708"/>
      <c r="DR264" s="1708"/>
      <c r="DS264" s="1708"/>
      <c r="DT264" s="1708"/>
      <c r="DU264" s="1708"/>
      <c r="DV264" s="1708"/>
      <c r="DW264" s="1708"/>
      <c r="DX264" s="1708"/>
      <c r="DY264" s="1708"/>
      <c r="DZ264" s="1708"/>
      <c r="EA264" s="1708"/>
      <c r="EB264" s="1708"/>
      <c r="EC264" s="1708"/>
      <c r="ED264" s="1708"/>
      <c r="EE264" s="1708"/>
      <c r="EF264" s="1708"/>
      <c r="EG264" s="1708"/>
      <c r="EH264" s="1708"/>
      <c r="EI264" s="1708"/>
      <c r="EJ264" s="1708"/>
      <c r="EK264" s="1708"/>
      <c r="EL264" s="1708"/>
      <c r="EM264" s="1708"/>
      <c r="EN264" s="1708"/>
      <c r="EO264" s="1708"/>
      <c r="EP264" s="1708"/>
      <c r="EQ264" s="1708"/>
      <c r="ER264" s="1708"/>
      <c r="ES264" s="1708"/>
      <c r="ET264" s="1708"/>
      <c r="EU264" s="1708"/>
      <c r="EV264" s="1708"/>
      <c r="EW264" s="1708"/>
      <c r="EX264" s="1708"/>
      <c r="EY264" s="1708"/>
      <c r="EZ264" s="1708"/>
      <c r="FA264" s="1708"/>
      <c r="FB264" s="1708"/>
      <c r="FC264" s="1708"/>
      <c r="FD264" s="1708"/>
      <c r="FE264" s="1708"/>
      <c r="FF264" s="1708"/>
      <c r="FG264" s="1708"/>
      <c r="FH264" s="1708"/>
      <c r="FI264" s="1708"/>
      <c r="FJ264" s="1708"/>
      <c r="FK264" s="1708"/>
      <c r="FL264" s="1708"/>
      <c r="FM264" s="1708"/>
      <c r="FN264" s="1708"/>
      <c r="FO264" s="1708"/>
      <c r="FP264" s="1708"/>
      <c r="FQ264" s="1708"/>
      <c r="FR264" s="1708"/>
      <c r="FS264" s="1708"/>
      <c r="FT264" s="1708"/>
      <c r="FU264" s="1708"/>
      <c r="FV264" s="1708"/>
      <c r="FW264" s="1708"/>
      <c r="FX264" s="1708"/>
      <c r="FY264" s="1708"/>
      <c r="FZ264" s="1708"/>
      <c r="GA264" s="1708"/>
      <c r="GB264" s="1708"/>
      <c r="GC264" s="1708"/>
      <c r="GD264" s="1708"/>
      <c r="GE264" s="1708"/>
      <c r="GF264" s="1708"/>
      <c r="GG264" s="1708"/>
      <c r="GH264" s="1708"/>
      <c r="GI264" s="1708"/>
      <c r="GJ264" s="1708"/>
      <c r="GK264" s="1708"/>
      <c r="GL264" s="1708"/>
      <c r="GM264" s="1708"/>
      <c r="GN264" s="1708"/>
      <c r="GO264" s="1708"/>
      <c r="GP264" s="1708"/>
      <c r="GQ264" s="1708"/>
      <c r="GR264" s="1708"/>
      <c r="GS264" s="1708"/>
      <c r="GT264" s="1708"/>
      <c r="GU264" s="1708"/>
      <c r="GV264" s="1708"/>
      <c r="GW264" s="1708"/>
      <c r="GX264" s="1708"/>
      <c r="GY264" s="1708"/>
      <c r="GZ264" s="1708"/>
      <c r="HA264" s="1708"/>
      <c r="HB264" s="1708"/>
      <c r="HC264" s="1708"/>
      <c r="HD264" s="1708"/>
      <c r="HE264" s="1708"/>
      <c r="HF264" s="1708"/>
      <c r="HG264" s="1708"/>
      <c r="HH264" s="1708"/>
      <c r="HI264" s="1708"/>
      <c r="HJ264" s="1708"/>
      <c r="HK264" s="1708"/>
      <c r="HL264" s="1708"/>
      <c r="HM264" s="1708"/>
      <c r="HN264" s="1708"/>
      <c r="HO264" s="1708"/>
      <c r="HP264" s="1708"/>
      <c r="HQ264" s="1708"/>
      <c r="HR264" s="1708"/>
      <c r="HS264" s="1708"/>
      <c r="HT264" s="1708"/>
      <c r="HU264" s="1708"/>
      <c r="HV264" s="1708"/>
      <c r="HW264" s="1708"/>
      <c r="HX264" s="1708"/>
      <c r="HY264" s="1708"/>
      <c r="HZ264" s="1708"/>
      <c r="IA264" s="1708"/>
      <c r="IB264" s="1708"/>
      <c r="IC264" s="1708"/>
      <c r="ID264" s="1708"/>
      <c r="IE264" s="1708"/>
      <c r="IF264" s="1708"/>
      <c r="IG264" s="1708"/>
      <c r="IH264" s="1708"/>
      <c r="II264" s="1708"/>
      <c r="IJ264" s="1708"/>
      <c r="IK264" s="1708"/>
      <c r="IL264" s="1708"/>
      <c r="IM264" s="1708"/>
      <c r="IN264" s="1708"/>
      <c r="IO264" s="1708"/>
      <c r="IP264" s="1708"/>
      <c r="IQ264" s="1708"/>
      <c r="IR264" s="1708"/>
      <c r="IS264" s="1708"/>
      <c r="IT264" s="1708"/>
      <c r="IU264" s="1708"/>
      <c r="IV264" s="1708"/>
    </row>
    <row r="265" spans="2:256" s="57" customFormat="1" x14ac:dyDescent="0.25">
      <c r="B265" s="1836"/>
      <c r="G265" s="1849"/>
      <c r="J265" s="1850"/>
      <c r="K265" s="1850"/>
      <c r="S265" s="1708"/>
      <c r="T265" s="1708"/>
      <c r="U265" s="1708"/>
      <c r="V265" s="1708"/>
      <c r="W265" s="1708"/>
      <c r="X265" s="1708"/>
      <c r="Y265" s="1708"/>
      <c r="Z265" s="1708"/>
      <c r="AA265" s="1708"/>
      <c r="AB265" s="1708"/>
      <c r="AC265" s="1708"/>
      <c r="AD265" s="1708"/>
      <c r="AE265" s="1708"/>
      <c r="AF265" s="1708"/>
      <c r="AG265" s="1708"/>
      <c r="AH265" s="1708"/>
      <c r="AI265" s="1708"/>
      <c r="AJ265" s="1708"/>
      <c r="AK265" s="1708"/>
      <c r="AL265" s="1708"/>
      <c r="AM265" s="1708"/>
      <c r="AN265" s="1708"/>
      <c r="AO265" s="1708"/>
      <c r="AP265" s="1708"/>
      <c r="AQ265" s="1708"/>
      <c r="AR265" s="1708"/>
      <c r="AS265" s="1708"/>
      <c r="AT265" s="1708"/>
      <c r="AU265" s="1708"/>
      <c r="AV265" s="1708"/>
      <c r="AW265" s="1708"/>
      <c r="AX265" s="1708"/>
      <c r="AY265" s="1708"/>
      <c r="AZ265" s="1708"/>
      <c r="BA265" s="1708"/>
      <c r="BB265" s="1708"/>
      <c r="BC265" s="1708"/>
      <c r="BD265" s="1708"/>
      <c r="BE265" s="1708"/>
      <c r="BF265" s="1708"/>
      <c r="BG265" s="1708"/>
      <c r="BH265" s="1708"/>
      <c r="BI265" s="1708"/>
      <c r="BJ265" s="1708"/>
      <c r="BK265" s="1708"/>
      <c r="BL265" s="1708"/>
      <c r="BM265" s="1708"/>
      <c r="BN265" s="1708"/>
      <c r="BO265" s="1708"/>
      <c r="BP265" s="1708"/>
      <c r="BQ265" s="1708"/>
      <c r="BR265" s="1708"/>
      <c r="BS265" s="1708"/>
      <c r="BT265" s="1708"/>
      <c r="BU265" s="1708"/>
      <c r="BV265" s="1708"/>
      <c r="BW265" s="1708"/>
      <c r="BX265" s="1708"/>
      <c r="BY265" s="1708"/>
      <c r="BZ265" s="1708"/>
      <c r="CA265" s="1708"/>
      <c r="CB265" s="1708"/>
      <c r="CC265" s="1708"/>
      <c r="CD265" s="1708"/>
      <c r="CE265" s="1708"/>
      <c r="CF265" s="1708"/>
      <c r="CG265" s="1708"/>
      <c r="CH265" s="1708"/>
      <c r="CI265" s="1708"/>
      <c r="CJ265" s="1708"/>
      <c r="CK265" s="1708"/>
      <c r="CL265" s="1708"/>
      <c r="CM265" s="1708"/>
      <c r="CN265" s="1708"/>
      <c r="CO265" s="1708"/>
      <c r="CP265" s="1708"/>
      <c r="CQ265" s="1708"/>
      <c r="CR265" s="1708"/>
      <c r="CS265" s="1708"/>
      <c r="CT265" s="1708"/>
      <c r="CU265" s="1708"/>
      <c r="CV265" s="1708"/>
      <c r="CW265" s="1708"/>
      <c r="CX265" s="1708"/>
      <c r="CY265" s="1708"/>
      <c r="CZ265" s="1708"/>
      <c r="DA265" s="1708"/>
      <c r="DB265" s="1708"/>
      <c r="DC265" s="1708"/>
      <c r="DD265" s="1708"/>
      <c r="DE265" s="1708"/>
      <c r="DF265" s="1708"/>
      <c r="DG265" s="1708"/>
      <c r="DH265" s="1708"/>
      <c r="DI265" s="1708"/>
      <c r="DJ265" s="1708"/>
      <c r="DK265" s="1708"/>
      <c r="DL265" s="1708"/>
      <c r="DM265" s="1708"/>
      <c r="DN265" s="1708"/>
      <c r="DO265" s="1708"/>
      <c r="DP265" s="1708"/>
      <c r="DQ265" s="1708"/>
      <c r="DR265" s="1708"/>
      <c r="DS265" s="1708"/>
      <c r="DT265" s="1708"/>
      <c r="DU265" s="1708"/>
      <c r="DV265" s="1708"/>
      <c r="DW265" s="1708"/>
      <c r="DX265" s="1708"/>
      <c r="DY265" s="1708"/>
      <c r="DZ265" s="1708"/>
      <c r="EA265" s="1708"/>
      <c r="EB265" s="1708"/>
      <c r="EC265" s="1708"/>
      <c r="ED265" s="1708"/>
      <c r="EE265" s="1708"/>
      <c r="EF265" s="1708"/>
      <c r="EG265" s="1708"/>
      <c r="EH265" s="1708"/>
      <c r="EI265" s="1708"/>
      <c r="EJ265" s="1708"/>
      <c r="EK265" s="1708"/>
      <c r="EL265" s="1708"/>
      <c r="EM265" s="1708"/>
      <c r="EN265" s="1708"/>
      <c r="EO265" s="1708"/>
      <c r="EP265" s="1708"/>
      <c r="EQ265" s="1708"/>
      <c r="ER265" s="1708"/>
      <c r="ES265" s="1708"/>
      <c r="ET265" s="1708"/>
      <c r="EU265" s="1708"/>
      <c r="EV265" s="1708"/>
      <c r="EW265" s="1708"/>
      <c r="EX265" s="1708"/>
      <c r="EY265" s="1708"/>
      <c r="EZ265" s="1708"/>
      <c r="FA265" s="1708"/>
      <c r="FB265" s="1708"/>
      <c r="FC265" s="1708"/>
      <c r="FD265" s="1708"/>
      <c r="FE265" s="1708"/>
      <c r="FF265" s="1708"/>
      <c r="FG265" s="1708"/>
      <c r="FH265" s="1708"/>
      <c r="FI265" s="1708"/>
      <c r="FJ265" s="1708"/>
      <c r="FK265" s="1708"/>
      <c r="FL265" s="1708"/>
      <c r="FM265" s="1708"/>
      <c r="FN265" s="1708"/>
      <c r="FO265" s="1708"/>
      <c r="FP265" s="1708"/>
      <c r="FQ265" s="1708"/>
      <c r="FR265" s="1708"/>
      <c r="FS265" s="1708"/>
      <c r="FT265" s="1708"/>
      <c r="FU265" s="1708"/>
      <c r="FV265" s="1708"/>
      <c r="FW265" s="1708"/>
      <c r="FX265" s="1708"/>
      <c r="FY265" s="1708"/>
      <c r="FZ265" s="1708"/>
      <c r="GA265" s="1708"/>
      <c r="GB265" s="1708"/>
      <c r="GC265" s="1708"/>
      <c r="GD265" s="1708"/>
      <c r="GE265" s="1708"/>
      <c r="GF265" s="1708"/>
      <c r="GG265" s="1708"/>
      <c r="GH265" s="1708"/>
      <c r="GI265" s="1708"/>
      <c r="GJ265" s="1708"/>
      <c r="GK265" s="1708"/>
      <c r="GL265" s="1708"/>
      <c r="GM265" s="1708"/>
      <c r="GN265" s="1708"/>
      <c r="GO265" s="1708"/>
      <c r="GP265" s="1708"/>
      <c r="GQ265" s="1708"/>
      <c r="GR265" s="1708"/>
      <c r="GS265" s="1708"/>
      <c r="GT265" s="1708"/>
      <c r="GU265" s="1708"/>
      <c r="GV265" s="1708"/>
      <c r="GW265" s="1708"/>
      <c r="GX265" s="1708"/>
      <c r="GY265" s="1708"/>
      <c r="GZ265" s="1708"/>
      <c r="HA265" s="1708"/>
      <c r="HB265" s="1708"/>
      <c r="HC265" s="1708"/>
      <c r="HD265" s="1708"/>
      <c r="HE265" s="1708"/>
      <c r="HF265" s="1708"/>
      <c r="HG265" s="1708"/>
      <c r="HH265" s="1708"/>
      <c r="HI265" s="1708"/>
      <c r="HJ265" s="1708"/>
      <c r="HK265" s="1708"/>
      <c r="HL265" s="1708"/>
      <c r="HM265" s="1708"/>
      <c r="HN265" s="1708"/>
      <c r="HO265" s="1708"/>
      <c r="HP265" s="1708"/>
      <c r="HQ265" s="1708"/>
      <c r="HR265" s="1708"/>
      <c r="HS265" s="1708"/>
      <c r="HT265" s="1708"/>
      <c r="HU265" s="1708"/>
      <c r="HV265" s="1708"/>
      <c r="HW265" s="1708"/>
      <c r="HX265" s="1708"/>
      <c r="HY265" s="1708"/>
      <c r="HZ265" s="1708"/>
      <c r="IA265" s="1708"/>
      <c r="IB265" s="1708"/>
      <c r="IC265" s="1708"/>
      <c r="ID265" s="1708"/>
      <c r="IE265" s="1708"/>
      <c r="IF265" s="1708"/>
      <c r="IG265" s="1708"/>
      <c r="IH265" s="1708"/>
      <c r="II265" s="1708"/>
      <c r="IJ265" s="1708"/>
      <c r="IK265" s="1708"/>
      <c r="IL265" s="1708"/>
      <c r="IM265" s="1708"/>
      <c r="IN265" s="1708"/>
      <c r="IO265" s="1708"/>
      <c r="IP265" s="1708"/>
      <c r="IQ265" s="1708"/>
      <c r="IR265" s="1708"/>
      <c r="IS265" s="1708"/>
      <c r="IT265" s="1708"/>
      <c r="IU265" s="1708"/>
      <c r="IV265" s="1708"/>
    </row>
    <row r="266" spans="2:256" s="57" customFormat="1" x14ac:dyDescent="0.25">
      <c r="B266" s="1836"/>
      <c r="G266" s="1849"/>
      <c r="J266" s="1850"/>
      <c r="K266" s="1850"/>
      <c r="S266" s="1708"/>
      <c r="T266" s="1708"/>
      <c r="U266" s="1708"/>
      <c r="V266" s="1708"/>
      <c r="W266" s="1708"/>
      <c r="X266" s="1708"/>
      <c r="Y266" s="1708"/>
      <c r="Z266" s="1708"/>
      <c r="AA266" s="1708"/>
      <c r="AB266" s="1708"/>
      <c r="AC266" s="1708"/>
      <c r="AD266" s="1708"/>
      <c r="AE266" s="1708"/>
      <c r="AF266" s="1708"/>
      <c r="AG266" s="1708"/>
      <c r="AH266" s="1708"/>
      <c r="AI266" s="1708"/>
      <c r="AJ266" s="1708"/>
      <c r="AK266" s="1708"/>
      <c r="AL266" s="1708"/>
      <c r="AM266" s="1708"/>
      <c r="AN266" s="1708"/>
      <c r="AO266" s="1708"/>
      <c r="AP266" s="1708"/>
      <c r="AQ266" s="1708"/>
      <c r="AR266" s="1708"/>
      <c r="AS266" s="1708"/>
      <c r="AT266" s="1708"/>
      <c r="AU266" s="1708"/>
      <c r="AV266" s="1708"/>
      <c r="AW266" s="1708"/>
      <c r="AX266" s="1708"/>
      <c r="AY266" s="1708"/>
      <c r="AZ266" s="1708"/>
      <c r="BA266" s="1708"/>
      <c r="BB266" s="1708"/>
      <c r="BC266" s="1708"/>
      <c r="BD266" s="1708"/>
      <c r="BE266" s="1708"/>
      <c r="BF266" s="1708"/>
      <c r="BG266" s="1708"/>
      <c r="BH266" s="1708"/>
      <c r="BI266" s="1708"/>
      <c r="BJ266" s="1708"/>
      <c r="BK266" s="1708"/>
      <c r="BL266" s="1708"/>
      <c r="BM266" s="1708"/>
      <c r="BN266" s="1708"/>
      <c r="BO266" s="1708"/>
      <c r="BP266" s="1708"/>
      <c r="BQ266" s="1708"/>
      <c r="BR266" s="1708"/>
      <c r="BS266" s="1708"/>
      <c r="BT266" s="1708"/>
      <c r="BU266" s="1708"/>
      <c r="BV266" s="1708"/>
      <c r="BW266" s="1708"/>
      <c r="BX266" s="1708"/>
      <c r="BY266" s="1708"/>
      <c r="BZ266" s="1708"/>
      <c r="CA266" s="1708"/>
      <c r="CB266" s="1708"/>
      <c r="CC266" s="1708"/>
      <c r="CD266" s="1708"/>
      <c r="CE266" s="1708"/>
      <c r="CF266" s="1708"/>
      <c r="CG266" s="1708"/>
      <c r="CH266" s="1708"/>
      <c r="CI266" s="1708"/>
      <c r="CJ266" s="1708"/>
      <c r="CK266" s="1708"/>
      <c r="CL266" s="1708"/>
      <c r="CM266" s="1708"/>
      <c r="CN266" s="1708"/>
      <c r="CO266" s="1708"/>
      <c r="CP266" s="1708"/>
      <c r="CQ266" s="1708"/>
      <c r="CR266" s="1708"/>
      <c r="CS266" s="1708"/>
      <c r="CT266" s="1708"/>
      <c r="CU266" s="1708"/>
      <c r="CV266" s="1708"/>
      <c r="CW266" s="1708"/>
      <c r="CX266" s="1708"/>
      <c r="CY266" s="1708"/>
      <c r="CZ266" s="1708"/>
      <c r="DA266" s="1708"/>
      <c r="DB266" s="1708"/>
      <c r="DC266" s="1708"/>
      <c r="DD266" s="1708"/>
      <c r="DE266" s="1708"/>
      <c r="DF266" s="1708"/>
      <c r="DG266" s="1708"/>
      <c r="DH266" s="1708"/>
      <c r="DI266" s="1708"/>
      <c r="DJ266" s="1708"/>
      <c r="DK266" s="1708"/>
      <c r="DL266" s="1708"/>
      <c r="DM266" s="1708"/>
      <c r="DN266" s="1708"/>
      <c r="DO266" s="1708"/>
      <c r="DP266" s="1708"/>
      <c r="DQ266" s="1708"/>
      <c r="DR266" s="1708"/>
      <c r="DS266" s="1708"/>
      <c r="DT266" s="1708"/>
      <c r="DU266" s="1708"/>
      <c r="DV266" s="1708"/>
      <c r="DW266" s="1708"/>
      <c r="DX266" s="1708"/>
      <c r="DY266" s="1708"/>
      <c r="DZ266" s="1708"/>
      <c r="EA266" s="1708"/>
      <c r="EB266" s="1708"/>
      <c r="EC266" s="1708"/>
      <c r="ED266" s="1708"/>
      <c r="EE266" s="1708"/>
      <c r="EF266" s="1708"/>
      <c r="EG266" s="1708"/>
      <c r="EH266" s="1708"/>
      <c r="EI266" s="1708"/>
      <c r="EJ266" s="1708"/>
      <c r="EK266" s="1708"/>
      <c r="EL266" s="1708"/>
      <c r="EM266" s="1708"/>
      <c r="EN266" s="1708"/>
      <c r="EO266" s="1708"/>
      <c r="EP266" s="1708"/>
      <c r="EQ266" s="1708"/>
      <c r="ER266" s="1708"/>
      <c r="ES266" s="1708"/>
      <c r="ET266" s="1708"/>
      <c r="EU266" s="1708"/>
      <c r="EV266" s="1708"/>
      <c r="EW266" s="1708"/>
      <c r="EX266" s="1708"/>
      <c r="EY266" s="1708"/>
      <c r="EZ266" s="1708"/>
      <c r="FA266" s="1708"/>
      <c r="FB266" s="1708"/>
      <c r="FC266" s="1708"/>
      <c r="FD266" s="1708"/>
      <c r="FE266" s="1708"/>
      <c r="FF266" s="1708"/>
      <c r="FG266" s="1708"/>
      <c r="FH266" s="1708"/>
      <c r="FI266" s="1708"/>
      <c r="FJ266" s="1708"/>
      <c r="FK266" s="1708"/>
      <c r="FL266" s="1708"/>
      <c r="FM266" s="1708"/>
      <c r="FN266" s="1708"/>
      <c r="FO266" s="1708"/>
      <c r="FP266" s="1708"/>
      <c r="FQ266" s="1708"/>
      <c r="FR266" s="1708"/>
      <c r="FS266" s="1708"/>
      <c r="FT266" s="1708"/>
      <c r="FU266" s="1708"/>
      <c r="FV266" s="1708"/>
      <c r="FW266" s="1708"/>
      <c r="FX266" s="1708"/>
      <c r="FY266" s="1708"/>
      <c r="FZ266" s="1708"/>
      <c r="GA266" s="1708"/>
      <c r="GB266" s="1708"/>
      <c r="GC266" s="1708"/>
      <c r="GD266" s="1708"/>
      <c r="GE266" s="1708"/>
      <c r="GF266" s="1708"/>
      <c r="GG266" s="1708"/>
      <c r="GH266" s="1708"/>
      <c r="GI266" s="1708"/>
      <c r="GJ266" s="1708"/>
      <c r="GK266" s="1708"/>
      <c r="GL266" s="1708"/>
      <c r="GM266" s="1708"/>
      <c r="GN266" s="1708"/>
      <c r="GO266" s="1708"/>
      <c r="GP266" s="1708"/>
      <c r="GQ266" s="1708"/>
      <c r="GR266" s="1708"/>
      <c r="GS266" s="1708"/>
      <c r="GT266" s="1708"/>
      <c r="GU266" s="1708"/>
      <c r="GV266" s="1708"/>
      <c r="GW266" s="1708"/>
      <c r="GX266" s="1708"/>
      <c r="GY266" s="1708"/>
      <c r="GZ266" s="1708"/>
      <c r="HA266" s="1708"/>
      <c r="HB266" s="1708"/>
      <c r="HC266" s="1708"/>
      <c r="HD266" s="1708"/>
      <c r="HE266" s="1708"/>
      <c r="HF266" s="1708"/>
      <c r="HG266" s="1708"/>
      <c r="HH266" s="1708"/>
      <c r="HI266" s="1708"/>
      <c r="HJ266" s="1708"/>
      <c r="HK266" s="1708"/>
      <c r="HL266" s="1708"/>
      <c r="HM266" s="1708"/>
      <c r="HN266" s="1708"/>
      <c r="HO266" s="1708"/>
      <c r="HP266" s="1708"/>
      <c r="HQ266" s="1708"/>
      <c r="HR266" s="1708"/>
      <c r="HS266" s="1708"/>
      <c r="HT266" s="1708"/>
      <c r="HU266" s="1708"/>
      <c r="HV266" s="1708"/>
      <c r="HW266" s="1708"/>
      <c r="HX266" s="1708"/>
      <c r="HY266" s="1708"/>
      <c r="HZ266" s="1708"/>
      <c r="IA266" s="1708"/>
      <c r="IB266" s="1708"/>
      <c r="IC266" s="1708"/>
      <c r="ID266" s="1708"/>
      <c r="IE266" s="1708"/>
      <c r="IF266" s="1708"/>
      <c r="IG266" s="1708"/>
      <c r="IH266" s="1708"/>
      <c r="II266" s="1708"/>
      <c r="IJ266" s="1708"/>
      <c r="IK266" s="1708"/>
      <c r="IL266" s="1708"/>
      <c r="IM266" s="1708"/>
      <c r="IN266" s="1708"/>
      <c r="IO266" s="1708"/>
      <c r="IP266" s="1708"/>
      <c r="IQ266" s="1708"/>
      <c r="IR266" s="1708"/>
      <c r="IS266" s="1708"/>
      <c r="IT266" s="1708"/>
      <c r="IU266" s="1708"/>
      <c r="IV266" s="1708"/>
    </row>
    <row r="267" spans="2:256" s="57" customFormat="1" x14ac:dyDescent="0.25">
      <c r="B267" s="1836"/>
      <c r="G267" s="1849"/>
      <c r="J267" s="1850"/>
      <c r="K267" s="1850"/>
      <c r="S267" s="1708"/>
      <c r="T267" s="1708"/>
      <c r="U267" s="1708"/>
      <c r="V267" s="1708"/>
      <c r="W267" s="1708"/>
      <c r="X267" s="1708"/>
      <c r="Y267" s="1708"/>
      <c r="Z267" s="1708"/>
      <c r="AA267" s="1708"/>
      <c r="AB267" s="1708"/>
      <c r="AC267" s="1708"/>
      <c r="AD267" s="1708"/>
      <c r="AE267" s="1708"/>
      <c r="AF267" s="1708"/>
      <c r="AG267" s="1708"/>
      <c r="AH267" s="1708"/>
      <c r="AI267" s="1708"/>
      <c r="AJ267" s="1708"/>
      <c r="AK267" s="1708"/>
      <c r="AL267" s="1708"/>
      <c r="AM267" s="1708"/>
      <c r="AN267" s="1708"/>
      <c r="AO267" s="1708"/>
      <c r="AP267" s="1708"/>
      <c r="AQ267" s="1708"/>
      <c r="AR267" s="1708"/>
      <c r="AS267" s="1708"/>
      <c r="AT267" s="1708"/>
      <c r="AU267" s="1708"/>
      <c r="AV267" s="1708"/>
      <c r="AW267" s="1708"/>
      <c r="AX267" s="1708"/>
      <c r="AY267" s="1708"/>
      <c r="AZ267" s="1708"/>
      <c r="BA267" s="1708"/>
      <c r="BB267" s="1708"/>
      <c r="BC267" s="1708"/>
      <c r="BD267" s="1708"/>
      <c r="BE267" s="1708"/>
      <c r="BF267" s="1708"/>
      <c r="BG267" s="1708"/>
      <c r="BH267" s="1708"/>
      <c r="BI267" s="1708"/>
      <c r="BJ267" s="1708"/>
      <c r="BK267" s="1708"/>
      <c r="BL267" s="1708"/>
      <c r="BM267" s="1708"/>
      <c r="BN267" s="1708"/>
      <c r="BO267" s="1708"/>
      <c r="BP267" s="1708"/>
      <c r="BQ267" s="1708"/>
      <c r="BR267" s="1708"/>
      <c r="BS267" s="1708"/>
      <c r="BT267" s="1708"/>
      <c r="BU267" s="1708"/>
      <c r="BV267" s="1708"/>
      <c r="BW267" s="1708"/>
      <c r="BX267" s="1708"/>
      <c r="BY267" s="1708"/>
      <c r="BZ267" s="1708"/>
      <c r="CA267" s="1708"/>
      <c r="CB267" s="1708"/>
      <c r="CC267" s="1708"/>
      <c r="CD267" s="1708"/>
      <c r="CE267" s="1708"/>
      <c r="CF267" s="1708"/>
      <c r="CG267" s="1708"/>
      <c r="CH267" s="1708"/>
      <c r="CI267" s="1708"/>
      <c r="CJ267" s="1708"/>
      <c r="CK267" s="1708"/>
      <c r="CL267" s="1708"/>
      <c r="CM267" s="1708"/>
      <c r="CN267" s="1708"/>
      <c r="CO267" s="1708"/>
      <c r="CP267" s="1708"/>
      <c r="CQ267" s="1708"/>
      <c r="CR267" s="1708"/>
      <c r="CS267" s="1708"/>
      <c r="CT267" s="1708"/>
      <c r="CU267" s="1708"/>
      <c r="CV267" s="1708"/>
      <c r="CW267" s="1708"/>
      <c r="CX267" s="1708"/>
      <c r="CY267" s="1708"/>
      <c r="CZ267" s="1708"/>
      <c r="DA267" s="1708"/>
      <c r="DB267" s="1708"/>
      <c r="DC267" s="1708"/>
      <c r="DD267" s="1708"/>
      <c r="DE267" s="1708"/>
      <c r="DF267" s="1708"/>
      <c r="DG267" s="1708"/>
      <c r="DH267" s="1708"/>
      <c r="DI267" s="1708"/>
      <c r="DJ267" s="1708"/>
      <c r="DK267" s="1708"/>
      <c r="DL267" s="1708"/>
      <c r="DM267" s="1708"/>
      <c r="DN267" s="1708"/>
      <c r="DO267" s="1708"/>
      <c r="DP267" s="1708"/>
      <c r="DQ267" s="1708"/>
      <c r="DR267" s="1708"/>
      <c r="DS267" s="1708"/>
      <c r="DT267" s="1708"/>
      <c r="DU267" s="1708"/>
      <c r="DV267" s="1708"/>
      <c r="DW267" s="1708"/>
      <c r="DX267" s="1708"/>
      <c r="DY267" s="1708"/>
      <c r="DZ267" s="1708"/>
      <c r="EA267" s="1708"/>
      <c r="EB267" s="1708"/>
      <c r="EC267" s="1708"/>
      <c r="ED267" s="1708"/>
      <c r="EE267" s="1708"/>
      <c r="EF267" s="1708"/>
      <c r="EG267" s="1708"/>
      <c r="EH267" s="1708"/>
      <c r="EI267" s="1708"/>
      <c r="EJ267" s="1708"/>
      <c r="EK267" s="1708"/>
      <c r="EL267" s="1708"/>
      <c r="EM267" s="1708"/>
      <c r="EN267" s="1708"/>
      <c r="EO267" s="1708"/>
      <c r="EP267" s="1708"/>
      <c r="EQ267" s="1708"/>
      <c r="ER267" s="1708"/>
      <c r="ES267" s="1708"/>
      <c r="ET267" s="1708"/>
      <c r="EU267" s="1708"/>
      <c r="EV267" s="1708"/>
      <c r="EW267" s="1708"/>
      <c r="EX267" s="1708"/>
      <c r="EY267" s="1708"/>
      <c r="EZ267" s="1708"/>
      <c r="FA267" s="1708"/>
      <c r="FB267" s="1708"/>
      <c r="FC267" s="1708"/>
      <c r="FD267" s="1708"/>
      <c r="FE267" s="1708"/>
      <c r="FF267" s="1708"/>
      <c r="FG267" s="1708"/>
      <c r="FH267" s="1708"/>
      <c r="FI267" s="1708"/>
      <c r="FJ267" s="1708"/>
      <c r="FK267" s="1708"/>
      <c r="FL267" s="1708"/>
      <c r="FM267" s="1708"/>
      <c r="FN267" s="1708"/>
      <c r="FO267" s="1708"/>
      <c r="FP267" s="1708"/>
      <c r="FQ267" s="1708"/>
      <c r="FR267" s="1708"/>
      <c r="FS267" s="1708"/>
      <c r="FT267" s="1708"/>
      <c r="FU267" s="1708"/>
      <c r="FV267" s="1708"/>
      <c r="FW267" s="1708"/>
      <c r="FX267" s="1708"/>
      <c r="FY267" s="1708"/>
      <c r="FZ267" s="1708"/>
      <c r="GA267" s="1708"/>
      <c r="GB267" s="1708"/>
      <c r="GC267" s="1708"/>
      <c r="GD267" s="1708"/>
      <c r="GE267" s="1708"/>
      <c r="GF267" s="1708"/>
      <c r="GG267" s="1708"/>
      <c r="GH267" s="1708"/>
      <c r="GI267" s="1708"/>
      <c r="GJ267" s="1708"/>
      <c r="GK267" s="1708"/>
      <c r="GL267" s="1708"/>
      <c r="GM267" s="1708"/>
      <c r="GN267" s="1708"/>
      <c r="GO267" s="1708"/>
      <c r="GP267" s="1708"/>
      <c r="GQ267" s="1708"/>
      <c r="GR267" s="1708"/>
      <c r="GS267" s="1708"/>
      <c r="GT267" s="1708"/>
      <c r="GU267" s="1708"/>
      <c r="GV267" s="1708"/>
      <c r="GW267" s="1708"/>
      <c r="GX267" s="1708"/>
      <c r="GY267" s="1708"/>
      <c r="GZ267" s="1708"/>
      <c r="HA267" s="1708"/>
      <c r="HB267" s="1708"/>
      <c r="HC267" s="1708"/>
      <c r="HD267" s="1708"/>
      <c r="HE267" s="1708"/>
      <c r="HF267" s="1708"/>
      <c r="HG267" s="1708"/>
      <c r="HH267" s="1708"/>
      <c r="HI267" s="1708"/>
      <c r="HJ267" s="1708"/>
      <c r="HK267" s="1708"/>
      <c r="HL267" s="1708"/>
      <c r="HM267" s="1708"/>
      <c r="HN267" s="1708"/>
      <c r="HO267" s="1708"/>
      <c r="HP267" s="1708"/>
      <c r="HQ267" s="1708"/>
      <c r="HR267" s="1708"/>
      <c r="HS267" s="1708"/>
      <c r="HT267" s="1708"/>
      <c r="HU267" s="1708"/>
      <c r="HV267" s="1708"/>
      <c r="HW267" s="1708"/>
      <c r="HX267" s="1708"/>
      <c r="HY267" s="1708"/>
      <c r="HZ267" s="1708"/>
      <c r="IA267" s="1708"/>
      <c r="IB267" s="1708"/>
      <c r="IC267" s="1708"/>
      <c r="ID267" s="1708"/>
      <c r="IE267" s="1708"/>
      <c r="IF267" s="1708"/>
      <c r="IG267" s="1708"/>
      <c r="IH267" s="1708"/>
      <c r="II267" s="1708"/>
      <c r="IJ267" s="1708"/>
      <c r="IK267" s="1708"/>
      <c r="IL267" s="1708"/>
      <c r="IM267" s="1708"/>
      <c r="IN267" s="1708"/>
      <c r="IO267" s="1708"/>
      <c r="IP267" s="1708"/>
      <c r="IQ267" s="1708"/>
      <c r="IR267" s="1708"/>
      <c r="IS267" s="1708"/>
      <c r="IT267" s="1708"/>
      <c r="IU267" s="1708"/>
      <c r="IV267" s="1708"/>
    </row>
    <row r="268" spans="2:256" s="57" customFormat="1" x14ac:dyDescent="0.25">
      <c r="B268" s="1836"/>
      <c r="G268" s="1849"/>
      <c r="J268" s="1850"/>
      <c r="K268" s="1850"/>
      <c r="S268" s="1708"/>
      <c r="T268" s="1708"/>
      <c r="U268" s="1708"/>
      <c r="V268" s="1708"/>
      <c r="W268" s="1708"/>
      <c r="X268" s="1708"/>
      <c r="Y268" s="1708"/>
      <c r="Z268" s="1708"/>
      <c r="AA268" s="1708"/>
      <c r="AB268" s="1708"/>
      <c r="AC268" s="1708"/>
      <c r="AD268" s="1708"/>
      <c r="AE268" s="1708"/>
      <c r="AF268" s="1708"/>
      <c r="AG268" s="1708"/>
      <c r="AH268" s="1708"/>
      <c r="AI268" s="1708"/>
      <c r="AJ268" s="1708"/>
      <c r="AK268" s="1708"/>
      <c r="AL268" s="1708"/>
      <c r="AM268" s="1708"/>
      <c r="AN268" s="1708"/>
      <c r="AO268" s="1708"/>
      <c r="AP268" s="1708"/>
      <c r="AQ268" s="1708"/>
      <c r="AR268" s="1708"/>
      <c r="AS268" s="1708"/>
      <c r="AT268" s="1708"/>
      <c r="AU268" s="1708"/>
      <c r="AV268" s="1708"/>
      <c r="AW268" s="1708"/>
      <c r="AX268" s="1708"/>
      <c r="AY268" s="1708"/>
      <c r="AZ268" s="1708"/>
      <c r="BA268" s="1708"/>
      <c r="BB268" s="1708"/>
      <c r="BC268" s="1708"/>
      <c r="BD268" s="1708"/>
      <c r="BE268" s="1708"/>
      <c r="BF268" s="1708"/>
      <c r="BG268" s="1708"/>
      <c r="BH268" s="1708"/>
      <c r="BI268" s="1708"/>
      <c r="BJ268" s="1708"/>
      <c r="BK268" s="1708"/>
      <c r="BL268" s="1708"/>
      <c r="BM268" s="1708"/>
      <c r="BN268" s="1708"/>
      <c r="BO268" s="1708"/>
      <c r="BP268" s="1708"/>
      <c r="BQ268" s="1708"/>
      <c r="BR268" s="1708"/>
      <c r="BS268" s="1708"/>
      <c r="BT268" s="1708"/>
      <c r="BU268" s="1708"/>
      <c r="BV268" s="1708"/>
      <c r="BW268" s="1708"/>
      <c r="BX268" s="1708"/>
      <c r="BY268" s="1708"/>
      <c r="BZ268" s="1708"/>
      <c r="CA268" s="1708"/>
      <c r="CB268" s="1708"/>
      <c r="CC268" s="1708"/>
      <c r="CD268" s="1708"/>
      <c r="CE268" s="1708"/>
      <c r="CF268" s="1708"/>
      <c r="CG268" s="1708"/>
      <c r="CH268" s="1708"/>
      <c r="CI268" s="1708"/>
      <c r="CJ268" s="1708"/>
      <c r="CK268" s="1708"/>
      <c r="CL268" s="1708"/>
      <c r="CM268" s="1708"/>
      <c r="CN268" s="1708"/>
      <c r="CO268" s="1708"/>
      <c r="CP268" s="1708"/>
      <c r="CQ268" s="1708"/>
      <c r="CR268" s="1708"/>
      <c r="CS268" s="1708"/>
      <c r="CT268" s="1708"/>
      <c r="CU268" s="1708"/>
      <c r="CV268" s="1708"/>
      <c r="CW268" s="1708"/>
      <c r="CX268" s="1708"/>
      <c r="CY268" s="1708"/>
      <c r="CZ268" s="1708"/>
      <c r="DA268" s="1708"/>
      <c r="DB268" s="1708"/>
      <c r="DC268" s="1708"/>
      <c r="DD268" s="1708"/>
      <c r="DE268" s="1708"/>
      <c r="DF268" s="1708"/>
      <c r="DG268" s="1708"/>
      <c r="DH268" s="1708"/>
      <c r="DI268" s="1708"/>
      <c r="DJ268" s="1708"/>
      <c r="DK268" s="1708"/>
      <c r="DL268" s="1708"/>
      <c r="DM268" s="1708"/>
      <c r="DN268" s="1708"/>
      <c r="DO268" s="1708"/>
      <c r="DP268" s="1708"/>
      <c r="DQ268" s="1708"/>
      <c r="DR268" s="1708"/>
      <c r="DS268" s="1708"/>
      <c r="DT268" s="1708"/>
      <c r="DU268" s="1708"/>
      <c r="DV268" s="1708"/>
      <c r="DW268" s="1708"/>
      <c r="DX268" s="1708"/>
      <c r="DY268" s="1708"/>
      <c r="DZ268" s="1708"/>
      <c r="EA268" s="1708"/>
      <c r="EB268" s="1708"/>
      <c r="EC268" s="1708"/>
      <c r="ED268" s="1708"/>
      <c r="EE268" s="1708"/>
      <c r="EF268" s="1708"/>
      <c r="EG268" s="1708"/>
      <c r="EH268" s="1708"/>
      <c r="EI268" s="1708"/>
      <c r="EJ268" s="1708"/>
      <c r="EK268" s="1708"/>
      <c r="EL268" s="1708"/>
      <c r="EM268" s="1708"/>
      <c r="EN268" s="1708"/>
      <c r="EO268" s="1708"/>
      <c r="EP268" s="1708"/>
      <c r="EQ268" s="1708"/>
      <c r="ER268" s="1708"/>
      <c r="ES268" s="1708"/>
      <c r="ET268" s="1708"/>
      <c r="EU268" s="1708"/>
      <c r="EV268" s="1708"/>
      <c r="EW268" s="1708"/>
      <c r="EX268" s="1708"/>
      <c r="EY268" s="1708"/>
      <c r="EZ268" s="1708"/>
      <c r="FA268" s="1708"/>
      <c r="FB268" s="1708"/>
      <c r="FC268" s="1708"/>
      <c r="FD268" s="1708"/>
      <c r="FE268" s="1708"/>
      <c r="FF268" s="1708"/>
      <c r="FG268" s="1708"/>
      <c r="FH268" s="1708"/>
      <c r="FI268" s="1708"/>
      <c r="FJ268" s="1708"/>
      <c r="FK268" s="1708"/>
      <c r="FL268" s="1708"/>
      <c r="FM268" s="1708"/>
      <c r="FN268" s="1708"/>
      <c r="FO268" s="1708"/>
      <c r="FP268" s="1708"/>
      <c r="FQ268" s="1708"/>
      <c r="FR268" s="1708"/>
      <c r="FS268" s="1708"/>
      <c r="FT268" s="1708"/>
      <c r="FU268" s="1708"/>
      <c r="FV268" s="1708"/>
      <c r="FW268" s="1708"/>
      <c r="FX268" s="1708"/>
      <c r="FY268" s="1708"/>
      <c r="FZ268" s="1708"/>
      <c r="GA268" s="1708"/>
      <c r="GB268" s="1708"/>
      <c r="GC268" s="1708"/>
      <c r="GD268" s="1708"/>
      <c r="GE268" s="1708"/>
      <c r="GF268" s="1708"/>
      <c r="GG268" s="1708"/>
      <c r="GH268" s="1708"/>
      <c r="GI268" s="1708"/>
      <c r="GJ268" s="1708"/>
      <c r="GK268" s="1708"/>
      <c r="GL268" s="1708"/>
      <c r="GM268" s="1708"/>
      <c r="GN268" s="1708"/>
      <c r="GO268" s="1708"/>
      <c r="GP268" s="1708"/>
      <c r="GQ268" s="1708"/>
      <c r="GR268" s="1708"/>
      <c r="GS268" s="1708"/>
      <c r="GT268" s="1708"/>
      <c r="GU268" s="1708"/>
      <c r="GV268" s="1708"/>
      <c r="GW268" s="1708"/>
      <c r="GX268" s="1708"/>
      <c r="GY268" s="1708"/>
      <c r="GZ268" s="1708"/>
      <c r="HA268" s="1708"/>
      <c r="HB268" s="1708"/>
      <c r="HC268" s="1708"/>
      <c r="HD268" s="1708"/>
      <c r="HE268" s="1708"/>
      <c r="HF268" s="1708"/>
      <c r="HG268" s="1708"/>
      <c r="HH268" s="1708"/>
      <c r="HI268" s="1708"/>
      <c r="HJ268" s="1708"/>
      <c r="HK268" s="1708"/>
      <c r="HL268" s="1708"/>
      <c r="HM268" s="1708"/>
      <c r="HN268" s="1708"/>
      <c r="HO268" s="1708"/>
      <c r="HP268" s="1708"/>
      <c r="HQ268" s="1708"/>
      <c r="HR268" s="1708"/>
      <c r="HS268" s="1708"/>
      <c r="HT268" s="1708"/>
      <c r="HU268" s="1708"/>
      <c r="HV268" s="1708"/>
      <c r="HW268" s="1708"/>
      <c r="HX268" s="1708"/>
      <c r="HY268" s="1708"/>
      <c r="HZ268" s="1708"/>
      <c r="IA268" s="1708"/>
      <c r="IB268" s="1708"/>
      <c r="IC268" s="1708"/>
      <c r="ID268" s="1708"/>
      <c r="IE268" s="1708"/>
      <c r="IF268" s="1708"/>
      <c r="IG268" s="1708"/>
      <c r="IH268" s="1708"/>
      <c r="II268" s="1708"/>
      <c r="IJ268" s="1708"/>
      <c r="IK268" s="1708"/>
      <c r="IL268" s="1708"/>
      <c r="IM268" s="1708"/>
      <c r="IN268" s="1708"/>
      <c r="IO268" s="1708"/>
      <c r="IP268" s="1708"/>
      <c r="IQ268" s="1708"/>
      <c r="IR268" s="1708"/>
      <c r="IS268" s="1708"/>
      <c r="IT268" s="1708"/>
      <c r="IU268" s="1708"/>
      <c r="IV268" s="1708"/>
    </row>
    <row r="269" spans="2:256" s="57" customFormat="1" x14ac:dyDescent="0.25">
      <c r="B269" s="1836"/>
      <c r="G269" s="1849"/>
      <c r="J269" s="1850"/>
      <c r="K269" s="1850"/>
      <c r="S269" s="1708"/>
      <c r="T269" s="1708"/>
      <c r="U269" s="1708"/>
      <c r="V269" s="1708"/>
      <c r="W269" s="1708"/>
      <c r="X269" s="1708"/>
      <c r="Y269" s="1708"/>
      <c r="Z269" s="1708"/>
      <c r="AA269" s="1708"/>
      <c r="AB269" s="1708"/>
      <c r="AC269" s="1708"/>
      <c r="AD269" s="1708"/>
      <c r="AE269" s="1708"/>
      <c r="AF269" s="1708"/>
      <c r="AG269" s="1708"/>
      <c r="AH269" s="1708"/>
      <c r="AI269" s="1708"/>
      <c r="AJ269" s="1708"/>
      <c r="AK269" s="1708"/>
      <c r="AL269" s="1708"/>
      <c r="AM269" s="1708"/>
      <c r="AN269" s="1708"/>
      <c r="AO269" s="1708"/>
      <c r="AP269" s="1708"/>
      <c r="AQ269" s="1708"/>
      <c r="AR269" s="1708"/>
      <c r="AS269" s="1708"/>
      <c r="AT269" s="1708"/>
      <c r="AU269" s="1708"/>
      <c r="AV269" s="1708"/>
      <c r="AW269" s="1708"/>
      <c r="AX269" s="1708"/>
      <c r="AY269" s="1708"/>
      <c r="AZ269" s="1708"/>
      <c r="BA269" s="1708"/>
      <c r="BB269" s="1708"/>
      <c r="BC269" s="1708"/>
      <c r="BD269" s="1708"/>
      <c r="BE269" s="1708"/>
      <c r="BF269" s="1708"/>
      <c r="BG269" s="1708"/>
      <c r="BH269" s="1708"/>
      <c r="BI269" s="1708"/>
      <c r="BJ269" s="1708"/>
      <c r="BK269" s="1708"/>
      <c r="BL269" s="1708"/>
      <c r="BM269" s="1708"/>
      <c r="BN269" s="1708"/>
      <c r="BO269" s="1708"/>
      <c r="BP269" s="1708"/>
      <c r="BQ269" s="1708"/>
      <c r="BR269" s="1708"/>
      <c r="BS269" s="1708"/>
      <c r="BT269" s="1708"/>
      <c r="BU269" s="1708"/>
      <c r="BV269" s="1708"/>
      <c r="BW269" s="1708"/>
      <c r="BX269" s="1708"/>
      <c r="BY269" s="1708"/>
      <c r="BZ269" s="1708"/>
      <c r="CA269" s="1708"/>
      <c r="CB269" s="1708"/>
      <c r="CC269" s="1708"/>
      <c r="CD269" s="1708"/>
      <c r="CE269" s="1708"/>
      <c r="CF269" s="1708"/>
      <c r="CG269" s="1708"/>
      <c r="CH269" s="1708"/>
      <c r="CI269" s="1708"/>
      <c r="CJ269" s="1708"/>
      <c r="CK269" s="1708"/>
      <c r="CL269" s="1708"/>
      <c r="CM269" s="1708"/>
      <c r="CN269" s="1708"/>
      <c r="CO269" s="1708"/>
      <c r="CP269" s="1708"/>
      <c r="CQ269" s="1708"/>
      <c r="CR269" s="1708"/>
      <c r="CS269" s="1708"/>
      <c r="CT269" s="1708"/>
      <c r="CU269" s="1708"/>
      <c r="CV269" s="1708"/>
      <c r="CW269" s="1708"/>
      <c r="CX269" s="1708"/>
      <c r="CY269" s="1708"/>
      <c r="CZ269" s="1708"/>
      <c r="DA269" s="1708"/>
      <c r="DB269" s="1708"/>
      <c r="DC269" s="1708"/>
      <c r="DD269" s="1708"/>
      <c r="DE269" s="1708"/>
      <c r="DF269" s="1708"/>
      <c r="DG269" s="1708"/>
      <c r="DH269" s="1708"/>
      <c r="DI269" s="1708"/>
      <c r="DJ269" s="1708"/>
      <c r="DK269" s="1708"/>
      <c r="DL269" s="1708"/>
      <c r="DM269" s="1708"/>
      <c r="DN269" s="1708"/>
      <c r="DO269" s="1708"/>
      <c r="DP269" s="1708"/>
      <c r="DQ269" s="1708"/>
      <c r="DR269" s="1708"/>
      <c r="DS269" s="1708"/>
      <c r="DT269" s="1708"/>
      <c r="DU269" s="1708"/>
      <c r="DV269" s="1708"/>
      <c r="DW269" s="1708"/>
      <c r="DX269" s="1708"/>
      <c r="DY269" s="1708"/>
      <c r="DZ269" s="1708"/>
      <c r="EA269" s="1708"/>
      <c r="EB269" s="1708"/>
      <c r="EC269" s="1708"/>
      <c r="ED269" s="1708"/>
      <c r="EE269" s="1708"/>
      <c r="EF269" s="1708"/>
      <c r="EG269" s="1708"/>
      <c r="EH269" s="1708"/>
      <c r="EI269" s="1708"/>
      <c r="EJ269" s="1708"/>
      <c r="EK269" s="1708"/>
      <c r="EL269" s="1708"/>
      <c r="EM269" s="1708"/>
      <c r="EN269" s="1708"/>
      <c r="EO269" s="1708"/>
      <c r="EP269" s="1708"/>
      <c r="EQ269" s="1708"/>
      <c r="ER269" s="1708"/>
      <c r="ES269" s="1708"/>
      <c r="ET269" s="1708"/>
      <c r="EU269" s="1708"/>
      <c r="EV269" s="1708"/>
      <c r="EW269" s="1708"/>
      <c r="EX269" s="1708"/>
      <c r="EY269" s="1708"/>
      <c r="EZ269" s="1708"/>
      <c r="FA269" s="1708"/>
      <c r="FB269" s="1708"/>
      <c r="FC269" s="1708"/>
      <c r="FD269" s="1708"/>
      <c r="FE269" s="1708"/>
      <c r="FF269" s="1708"/>
      <c r="FG269" s="1708"/>
      <c r="FH269" s="1708"/>
      <c r="FI269" s="1708"/>
      <c r="FJ269" s="1708"/>
      <c r="FK269" s="1708"/>
      <c r="FL269" s="1708"/>
      <c r="FM269" s="1708"/>
      <c r="FN269" s="1708"/>
      <c r="FO269" s="1708"/>
      <c r="FP269" s="1708"/>
      <c r="FQ269" s="1708"/>
      <c r="FR269" s="1708"/>
      <c r="FS269" s="1708"/>
      <c r="FT269" s="1708"/>
      <c r="FU269" s="1708"/>
      <c r="FV269" s="1708"/>
      <c r="FW269" s="1708"/>
      <c r="FX269" s="1708"/>
      <c r="FY269" s="1708"/>
      <c r="FZ269" s="1708"/>
      <c r="GA269" s="1708"/>
      <c r="GB269" s="1708"/>
      <c r="GC269" s="1708"/>
      <c r="GD269" s="1708"/>
      <c r="GE269" s="1708"/>
      <c r="GF269" s="1708"/>
      <c r="GG269" s="1708"/>
      <c r="GH269" s="1708"/>
      <c r="GI269" s="1708"/>
      <c r="GJ269" s="1708"/>
      <c r="GK269" s="1708"/>
      <c r="GL269" s="1708"/>
      <c r="GM269" s="1708"/>
      <c r="GN269" s="1708"/>
      <c r="GO269" s="1708"/>
      <c r="GP269" s="1708"/>
      <c r="GQ269" s="1708"/>
      <c r="GR269" s="1708"/>
      <c r="GS269" s="1708"/>
      <c r="GT269" s="1708"/>
      <c r="GU269" s="1708"/>
      <c r="GV269" s="1708"/>
      <c r="GW269" s="1708"/>
      <c r="GX269" s="1708"/>
      <c r="GY269" s="1708"/>
      <c r="GZ269" s="1708"/>
      <c r="HA269" s="1708"/>
      <c r="HB269" s="1708"/>
      <c r="HC269" s="1708"/>
      <c r="HD269" s="1708"/>
      <c r="HE269" s="1708"/>
      <c r="HF269" s="1708"/>
      <c r="HG269" s="1708"/>
      <c r="HH269" s="1708"/>
      <c r="HI269" s="1708"/>
      <c r="HJ269" s="1708"/>
      <c r="HK269" s="1708"/>
      <c r="HL269" s="1708"/>
      <c r="HM269" s="1708"/>
      <c r="HN269" s="1708"/>
      <c r="HO269" s="1708"/>
      <c r="HP269" s="1708"/>
      <c r="HQ269" s="1708"/>
      <c r="HR269" s="1708"/>
      <c r="HS269" s="1708"/>
      <c r="HT269" s="1708"/>
      <c r="HU269" s="1708"/>
      <c r="HV269" s="1708"/>
      <c r="HW269" s="1708"/>
      <c r="HX269" s="1708"/>
      <c r="HY269" s="1708"/>
      <c r="HZ269" s="1708"/>
      <c r="IA269" s="1708"/>
      <c r="IB269" s="1708"/>
      <c r="IC269" s="1708"/>
      <c r="ID269" s="1708"/>
      <c r="IE269" s="1708"/>
      <c r="IF269" s="1708"/>
      <c r="IG269" s="1708"/>
      <c r="IH269" s="1708"/>
      <c r="II269" s="1708"/>
      <c r="IJ269" s="1708"/>
      <c r="IK269" s="1708"/>
      <c r="IL269" s="1708"/>
      <c r="IM269" s="1708"/>
      <c r="IN269" s="1708"/>
      <c r="IO269" s="1708"/>
      <c r="IP269" s="1708"/>
      <c r="IQ269" s="1708"/>
      <c r="IR269" s="1708"/>
      <c r="IS269" s="1708"/>
      <c r="IT269" s="1708"/>
      <c r="IU269" s="1708"/>
      <c r="IV269" s="1708"/>
    </row>
    <row r="270" spans="2:256" s="57" customFormat="1" x14ac:dyDescent="0.25">
      <c r="B270" s="1836"/>
      <c r="G270" s="1849"/>
      <c r="J270" s="1850"/>
      <c r="K270" s="1850"/>
      <c r="S270" s="1708"/>
      <c r="T270" s="1708"/>
      <c r="U270" s="1708"/>
      <c r="V270" s="1708"/>
      <c r="W270" s="1708"/>
      <c r="X270" s="1708"/>
      <c r="Y270" s="1708"/>
      <c r="Z270" s="1708"/>
      <c r="AA270" s="1708"/>
      <c r="AB270" s="1708"/>
      <c r="AC270" s="1708"/>
      <c r="AD270" s="1708"/>
      <c r="AE270" s="1708"/>
      <c r="AF270" s="1708"/>
      <c r="AG270" s="1708"/>
      <c r="AH270" s="1708"/>
      <c r="AI270" s="1708"/>
      <c r="AJ270" s="1708"/>
      <c r="AK270" s="1708"/>
      <c r="AL270" s="1708"/>
      <c r="AM270" s="1708"/>
      <c r="AN270" s="1708"/>
      <c r="AO270" s="1708"/>
      <c r="AP270" s="1708"/>
      <c r="AQ270" s="1708"/>
      <c r="AR270" s="1708"/>
      <c r="AS270" s="1708"/>
      <c r="AT270" s="1708"/>
      <c r="AU270" s="1708"/>
      <c r="AV270" s="1708"/>
      <c r="AW270" s="1708"/>
      <c r="AX270" s="1708"/>
      <c r="AY270" s="1708"/>
      <c r="AZ270" s="1708"/>
      <c r="BA270" s="1708"/>
      <c r="BB270" s="1708"/>
      <c r="BC270" s="1708"/>
      <c r="BD270" s="1708"/>
      <c r="BE270" s="1708"/>
      <c r="BF270" s="1708"/>
      <c r="BG270" s="1708"/>
      <c r="BH270" s="1708"/>
      <c r="BI270" s="1708"/>
      <c r="BJ270" s="1708"/>
      <c r="BK270" s="1708"/>
      <c r="BL270" s="1708"/>
      <c r="BM270" s="1708"/>
      <c r="BN270" s="1708"/>
      <c r="BO270" s="1708"/>
      <c r="BP270" s="1708"/>
      <c r="BQ270" s="1708"/>
      <c r="BR270" s="1708"/>
      <c r="BS270" s="1708"/>
      <c r="BT270" s="1708"/>
      <c r="BU270" s="1708"/>
      <c r="BV270" s="1708"/>
      <c r="BW270" s="1708"/>
      <c r="BX270" s="1708"/>
      <c r="BY270" s="1708"/>
      <c r="BZ270" s="1708"/>
      <c r="CA270" s="1708"/>
      <c r="CB270" s="1708"/>
      <c r="CC270" s="1708"/>
      <c r="CD270" s="1708"/>
      <c r="CE270" s="1708"/>
      <c r="CF270" s="1708"/>
      <c r="CG270" s="1708"/>
      <c r="CH270" s="1708"/>
      <c r="CI270" s="1708"/>
      <c r="CJ270" s="1708"/>
      <c r="CK270" s="1708"/>
      <c r="CL270" s="1708"/>
      <c r="CM270" s="1708"/>
      <c r="CN270" s="1708"/>
      <c r="CO270" s="1708"/>
      <c r="CP270" s="1708"/>
      <c r="CQ270" s="1708"/>
      <c r="CR270" s="1708"/>
      <c r="CS270" s="1708"/>
      <c r="CT270" s="1708"/>
      <c r="CU270" s="1708"/>
      <c r="CV270" s="1708"/>
      <c r="CW270" s="1708"/>
      <c r="CX270" s="1708"/>
      <c r="CY270" s="1708"/>
      <c r="CZ270" s="1708"/>
      <c r="DA270" s="1708"/>
      <c r="DB270" s="1708"/>
      <c r="DC270" s="1708"/>
      <c r="DD270" s="1708"/>
      <c r="DE270" s="1708"/>
      <c r="DF270" s="1708"/>
      <c r="DG270" s="1708"/>
      <c r="DH270" s="1708"/>
      <c r="DI270" s="1708"/>
      <c r="DJ270" s="1708"/>
      <c r="DK270" s="1708"/>
      <c r="DL270" s="1708"/>
      <c r="DM270" s="1708"/>
      <c r="DN270" s="1708"/>
      <c r="DO270" s="1708"/>
      <c r="DP270" s="1708"/>
      <c r="DQ270" s="1708"/>
      <c r="DR270" s="1708"/>
      <c r="DS270" s="1708"/>
      <c r="DT270" s="1708"/>
      <c r="DU270" s="1708"/>
      <c r="DV270" s="1708"/>
      <c r="DW270" s="1708"/>
      <c r="DX270" s="1708"/>
      <c r="DY270" s="1708"/>
      <c r="DZ270" s="1708"/>
      <c r="EA270" s="1708"/>
      <c r="EB270" s="1708"/>
      <c r="EC270" s="1708"/>
      <c r="ED270" s="1708"/>
      <c r="EE270" s="1708"/>
      <c r="EF270" s="1708"/>
      <c r="EG270" s="1708"/>
      <c r="EH270" s="1708"/>
      <c r="EI270" s="1708"/>
      <c r="EJ270" s="1708"/>
      <c r="EK270" s="1708"/>
      <c r="EL270" s="1708"/>
      <c r="EM270" s="1708"/>
      <c r="EN270" s="1708"/>
      <c r="EO270" s="1708"/>
      <c r="EP270" s="1708"/>
      <c r="EQ270" s="1708"/>
      <c r="ER270" s="1708"/>
      <c r="ES270" s="1708"/>
      <c r="ET270" s="1708"/>
      <c r="EU270" s="1708"/>
      <c r="EV270" s="1708"/>
      <c r="EW270" s="1708"/>
      <c r="EX270" s="1708"/>
      <c r="EY270" s="1708"/>
      <c r="EZ270" s="1708"/>
      <c r="FA270" s="1708"/>
      <c r="FB270" s="1708"/>
      <c r="FC270" s="1708"/>
      <c r="FD270" s="1708"/>
      <c r="FE270" s="1708"/>
      <c r="FF270" s="1708"/>
      <c r="FG270" s="1708"/>
      <c r="FH270" s="1708"/>
      <c r="FI270" s="1708"/>
      <c r="FJ270" s="1708"/>
      <c r="FK270" s="1708"/>
      <c r="FL270" s="1708"/>
      <c r="FM270" s="1708"/>
      <c r="FN270" s="1708"/>
      <c r="FO270" s="1708"/>
      <c r="FP270" s="1708"/>
      <c r="FQ270" s="1708"/>
      <c r="FR270" s="1708"/>
      <c r="FS270" s="1708"/>
      <c r="FT270" s="1708"/>
      <c r="FU270" s="1708"/>
      <c r="FV270" s="1708"/>
      <c r="FW270" s="1708"/>
      <c r="FX270" s="1708"/>
      <c r="FY270" s="1708"/>
      <c r="FZ270" s="1708"/>
      <c r="GA270" s="1708"/>
      <c r="GB270" s="1708"/>
      <c r="GC270" s="1708"/>
      <c r="GD270" s="1708"/>
      <c r="GE270" s="1708"/>
      <c r="GF270" s="1708"/>
      <c r="GG270" s="1708"/>
      <c r="GH270" s="1708"/>
      <c r="GI270" s="1708"/>
      <c r="GJ270" s="1708"/>
      <c r="GK270" s="1708"/>
      <c r="GL270" s="1708"/>
      <c r="GM270" s="1708"/>
      <c r="GN270" s="1708"/>
      <c r="GO270" s="1708"/>
      <c r="GP270" s="1708"/>
      <c r="GQ270" s="1708"/>
      <c r="GR270" s="1708"/>
      <c r="GS270" s="1708"/>
      <c r="GT270" s="1708"/>
      <c r="GU270" s="1708"/>
      <c r="GV270" s="1708"/>
      <c r="GW270" s="1708"/>
      <c r="GX270" s="1708"/>
      <c r="GY270" s="1708"/>
      <c r="GZ270" s="1708"/>
      <c r="HA270" s="1708"/>
      <c r="HB270" s="1708"/>
      <c r="HC270" s="1708"/>
      <c r="HD270" s="1708"/>
      <c r="HE270" s="1708"/>
      <c r="HF270" s="1708"/>
      <c r="HG270" s="1708"/>
      <c r="HH270" s="1708"/>
      <c r="HI270" s="1708"/>
      <c r="HJ270" s="1708"/>
      <c r="HK270" s="1708"/>
      <c r="HL270" s="1708"/>
      <c r="HM270" s="1708"/>
      <c r="HN270" s="1708"/>
      <c r="HO270" s="1708"/>
      <c r="HP270" s="1708"/>
      <c r="HQ270" s="1708"/>
      <c r="HR270" s="1708"/>
      <c r="HS270" s="1708"/>
      <c r="HT270" s="1708"/>
      <c r="HU270" s="1708"/>
      <c r="HV270" s="1708"/>
      <c r="HW270" s="1708"/>
      <c r="HX270" s="1708"/>
      <c r="HY270" s="1708"/>
      <c r="HZ270" s="1708"/>
      <c r="IA270" s="1708"/>
      <c r="IB270" s="1708"/>
      <c r="IC270" s="1708"/>
      <c r="ID270" s="1708"/>
      <c r="IE270" s="1708"/>
      <c r="IF270" s="1708"/>
      <c r="IG270" s="1708"/>
      <c r="IH270" s="1708"/>
      <c r="II270" s="1708"/>
      <c r="IJ270" s="1708"/>
      <c r="IK270" s="1708"/>
      <c r="IL270" s="1708"/>
      <c r="IM270" s="1708"/>
      <c r="IN270" s="1708"/>
      <c r="IO270" s="1708"/>
      <c r="IP270" s="1708"/>
      <c r="IQ270" s="1708"/>
      <c r="IR270" s="1708"/>
      <c r="IS270" s="1708"/>
      <c r="IT270" s="1708"/>
      <c r="IU270" s="1708"/>
      <c r="IV270" s="1708"/>
    </row>
    <row r="271" spans="2:256" s="57" customFormat="1" x14ac:dyDescent="0.25">
      <c r="B271" s="1836"/>
      <c r="G271" s="1849"/>
      <c r="J271" s="1850"/>
      <c r="K271" s="1850"/>
      <c r="S271" s="1708"/>
      <c r="T271" s="1708"/>
      <c r="U271" s="1708"/>
      <c r="V271" s="1708"/>
      <c r="W271" s="1708"/>
      <c r="X271" s="1708"/>
      <c r="Y271" s="1708"/>
      <c r="Z271" s="1708"/>
      <c r="AA271" s="1708"/>
      <c r="AB271" s="1708"/>
      <c r="AC271" s="1708"/>
      <c r="AD271" s="1708"/>
      <c r="AE271" s="1708"/>
      <c r="AF271" s="1708"/>
      <c r="AG271" s="1708"/>
      <c r="AH271" s="1708"/>
      <c r="AI271" s="1708"/>
      <c r="AJ271" s="1708"/>
      <c r="AK271" s="1708"/>
      <c r="AL271" s="1708"/>
      <c r="AM271" s="1708"/>
      <c r="AN271" s="1708"/>
      <c r="AO271" s="1708"/>
      <c r="AP271" s="1708"/>
      <c r="AQ271" s="1708"/>
      <c r="AR271" s="1708"/>
      <c r="AS271" s="1708"/>
      <c r="AT271" s="1708"/>
      <c r="AU271" s="1708"/>
      <c r="AV271" s="1708"/>
      <c r="AW271" s="1708"/>
      <c r="AX271" s="1708"/>
      <c r="AY271" s="1708"/>
      <c r="AZ271" s="1708"/>
      <c r="BA271" s="1708"/>
      <c r="BB271" s="1708"/>
      <c r="BC271" s="1708"/>
      <c r="BD271" s="1708"/>
      <c r="BE271" s="1708"/>
      <c r="BF271" s="1708"/>
      <c r="BG271" s="1708"/>
      <c r="BH271" s="1708"/>
      <c r="BI271" s="1708"/>
      <c r="BJ271" s="1708"/>
      <c r="BK271" s="1708"/>
      <c r="BL271" s="1708"/>
      <c r="BM271" s="1708"/>
      <c r="BN271" s="1708"/>
      <c r="BO271" s="1708"/>
      <c r="BP271" s="1708"/>
      <c r="BQ271" s="1708"/>
      <c r="BR271" s="1708"/>
      <c r="BS271" s="1708"/>
      <c r="BT271" s="1708"/>
      <c r="BU271" s="1708"/>
      <c r="BV271" s="1708"/>
      <c r="BW271" s="1708"/>
      <c r="BX271" s="1708"/>
      <c r="BY271" s="1708"/>
      <c r="BZ271" s="1708"/>
      <c r="CA271" s="1708"/>
      <c r="CB271" s="1708"/>
      <c r="CC271" s="1708"/>
      <c r="CD271" s="1708"/>
      <c r="CE271" s="1708"/>
      <c r="CF271" s="1708"/>
      <c r="CG271" s="1708"/>
      <c r="CH271" s="1708"/>
      <c r="CI271" s="1708"/>
      <c r="CJ271" s="1708"/>
      <c r="CK271" s="1708"/>
      <c r="CL271" s="1708"/>
      <c r="CM271" s="1708"/>
      <c r="CN271" s="1708"/>
      <c r="CO271" s="1708"/>
      <c r="CP271" s="1708"/>
      <c r="CQ271" s="1708"/>
      <c r="CR271" s="1708"/>
      <c r="CS271" s="1708"/>
      <c r="CT271" s="1708"/>
      <c r="CU271" s="1708"/>
      <c r="CV271" s="1708"/>
      <c r="CW271" s="1708"/>
      <c r="CX271" s="1708"/>
      <c r="CY271" s="1708"/>
      <c r="CZ271" s="1708"/>
      <c r="DA271" s="1708"/>
      <c r="DB271" s="1708"/>
      <c r="DC271" s="1708"/>
      <c r="DD271" s="1708"/>
      <c r="DE271" s="1708"/>
      <c r="DF271" s="1708"/>
      <c r="DG271" s="1708"/>
      <c r="DH271" s="1708"/>
      <c r="DI271" s="1708"/>
      <c r="DJ271" s="1708"/>
      <c r="DK271" s="1708"/>
      <c r="DL271" s="1708"/>
      <c r="DM271" s="1708"/>
      <c r="DN271" s="1708"/>
      <c r="DO271" s="1708"/>
      <c r="DP271" s="1708"/>
      <c r="DQ271" s="1708"/>
      <c r="DR271" s="1708"/>
      <c r="DS271" s="1708"/>
      <c r="DT271" s="1708"/>
      <c r="DU271" s="1708"/>
      <c r="DV271" s="1708"/>
      <c r="DW271" s="1708"/>
      <c r="DX271" s="1708"/>
      <c r="DY271" s="1708"/>
      <c r="DZ271" s="1708"/>
      <c r="EA271" s="1708"/>
      <c r="EB271" s="1708"/>
      <c r="EC271" s="1708"/>
      <c r="ED271" s="1708"/>
      <c r="EE271" s="1708"/>
      <c r="EF271" s="1708"/>
      <c r="EG271" s="1708"/>
      <c r="EH271" s="1708"/>
      <c r="EI271" s="1708"/>
      <c r="EJ271" s="1708"/>
      <c r="EK271" s="1708"/>
      <c r="EL271" s="1708"/>
      <c r="EM271" s="1708"/>
      <c r="EN271" s="1708"/>
      <c r="EO271" s="1708"/>
      <c r="EP271" s="1708"/>
      <c r="EQ271" s="1708"/>
      <c r="ER271" s="1708"/>
      <c r="ES271" s="1708"/>
      <c r="ET271" s="1708"/>
      <c r="EU271" s="1708"/>
      <c r="EV271" s="1708"/>
      <c r="EW271" s="1708"/>
      <c r="EX271" s="1708"/>
      <c r="EY271" s="1708"/>
      <c r="EZ271" s="1708"/>
      <c r="FA271" s="1708"/>
      <c r="FB271" s="1708"/>
      <c r="FC271" s="1708"/>
      <c r="FD271" s="1708"/>
      <c r="FE271" s="1708"/>
      <c r="FF271" s="1708"/>
      <c r="FG271" s="1708"/>
      <c r="FH271" s="1708"/>
      <c r="FI271" s="1708"/>
      <c r="FJ271" s="1708"/>
      <c r="FK271" s="1708"/>
      <c r="FL271" s="1708"/>
      <c r="FM271" s="1708"/>
      <c r="FN271" s="1708"/>
      <c r="FO271" s="1708"/>
      <c r="FP271" s="1708"/>
      <c r="FQ271" s="1708"/>
      <c r="FR271" s="1708"/>
      <c r="FS271" s="1708"/>
      <c r="FT271" s="1708"/>
      <c r="FU271" s="1708"/>
      <c r="FV271" s="1708"/>
      <c r="FW271" s="1708"/>
      <c r="FX271" s="1708"/>
      <c r="FY271" s="1708"/>
      <c r="FZ271" s="1708"/>
      <c r="GA271" s="1708"/>
      <c r="GB271" s="1708"/>
      <c r="GC271" s="1708"/>
      <c r="GD271" s="1708"/>
      <c r="GE271" s="1708"/>
      <c r="GF271" s="1708"/>
      <c r="GG271" s="1708"/>
      <c r="GH271" s="1708"/>
      <c r="GI271" s="1708"/>
      <c r="GJ271" s="1708"/>
      <c r="GK271" s="1708"/>
      <c r="GL271" s="1708"/>
      <c r="GM271" s="1708"/>
      <c r="GN271" s="1708"/>
      <c r="GO271" s="1708"/>
      <c r="GP271" s="1708"/>
      <c r="GQ271" s="1708"/>
      <c r="GR271" s="1708"/>
      <c r="GS271" s="1708"/>
      <c r="GT271" s="1708"/>
      <c r="GU271" s="1708"/>
      <c r="GV271" s="1708"/>
      <c r="GW271" s="1708"/>
      <c r="GX271" s="1708"/>
      <c r="GY271" s="1708"/>
      <c r="GZ271" s="1708"/>
      <c r="HA271" s="1708"/>
      <c r="HB271" s="1708"/>
      <c r="HC271" s="1708"/>
      <c r="HD271" s="1708"/>
      <c r="HE271" s="1708"/>
      <c r="HF271" s="1708"/>
      <c r="HG271" s="1708"/>
      <c r="HH271" s="1708"/>
      <c r="HI271" s="1708"/>
      <c r="HJ271" s="1708"/>
      <c r="HK271" s="1708"/>
      <c r="HL271" s="1708"/>
      <c r="HM271" s="1708"/>
      <c r="HN271" s="1708"/>
      <c r="HO271" s="1708"/>
      <c r="HP271" s="1708"/>
      <c r="HQ271" s="1708"/>
      <c r="HR271" s="1708"/>
      <c r="HS271" s="1708"/>
      <c r="HT271" s="1708"/>
      <c r="HU271" s="1708"/>
      <c r="HV271" s="1708"/>
      <c r="HW271" s="1708"/>
      <c r="HX271" s="1708"/>
      <c r="HY271" s="1708"/>
      <c r="HZ271" s="1708"/>
      <c r="IA271" s="1708"/>
      <c r="IB271" s="1708"/>
      <c r="IC271" s="1708"/>
      <c r="ID271" s="1708"/>
      <c r="IE271" s="1708"/>
      <c r="IF271" s="1708"/>
      <c r="IG271" s="1708"/>
      <c r="IH271" s="1708"/>
      <c r="II271" s="1708"/>
      <c r="IJ271" s="1708"/>
      <c r="IK271" s="1708"/>
      <c r="IL271" s="1708"/>
      <c r="IM271" s="1708"/>
      <c r="IN271" s="1708"/>
      <c r="IO271" s="1708"/>
      <c r="IP271" s="1708"/>
      <c r="IQ271" s="1708"/>
      <c r="IR271" s="1708"/>
      <c r="IS271" s="1708"/>
      <c r="IT271" s="1708"/>
      <c r="IU271" s="1708"/>
      <c r="IV271" s="1708"/>
    </row>
    <row r="272" spans="2:256" s="57" customFormat="1" x14ac:dyDescent="0.25">
      <c r="B272" s="1836"/>
      <c r="G272" s="1849"/>
      <c r="J272" s="1850"/>
      <c r="K272" s="1850"/>
      <c r="S272" s="1708"/>
      <c r="T272" s="1708"/>
      <c r="U272" s="1708"/>
      <c r="V272" s="1708"/>
      <c r="W272" s="1708"/>
      <c r="X272" s="1708"/>
      <c r="Y272" s="1708"/>
      <c r="Z272" s="1708"/>
      <c r="AA272" s="1708"/>
      <c r="AB272" s="1708"/>
      <c r="AC272" s="1708"/>
      <c r="AD272" s="1708"/>
      <c r="AE272" s="1708"/>
      <c r="AF272" s="1708"/>
      <c r="AG272" s="1708"/>
      <c r="AH272" s="1708"/>
      <c r="AI272" s="1708"/>
      <c r="AJ272" s="1708"/>
      <c r="AK272" s="1708"/>
      <c r="AL272" s="1708"/>
      <c r="AM272" s="1708"/>
      <c r="AN272" s="1708"/>
      <c r="AO272" s="1708"/>
      <c r="AP272" s="1708"/>
      <c r="AQ272" s="1708"/>
      <c r="AR272" s="1708"/>
      <c r="AS272" s="1708"/>
      <c r="AT272" s="1708"/>
      <c r="AU272" s="1708"/>
      <c r="AV272" s="1708"/>
      <c r="AW272" s="1708"/>
      <c r="AX272" s="1708"/>
      <c r="AY272" s="1708"/>
      <c r="AZ272" s="1708"/>
      <c r="BA272" s="1708"/>
      <c r="BB272" s="1708"/>
      <c r="BC272" s="1708"/>
      <c r="BD272" s="1708"/>
      <c r="BE272" s="1708"/>
      <c r="BF272" s="1708"/>
      <c r="BG272" s="1708"/>
      <c r="BH272" s="1708"/>
      <c r="BI272" s="1708"/>
      <c r="BJ272" s="1708"/>
      <c r="BK272" s="1708"/>
      <c r="BL272" s="1708"/>
      <c r="BM272" s="1708"/>
      <c r="BN272" s="1708"/>
      <c r="BO272" s="1708"/>
      <c r="BP272" s="1708"/>
      <c r="BQ272" s="1708"/>
      <c r="BR272" s="1708"/>
      <c r="BS272" s="1708"/>
      <c r="BT272" s="1708"/>
      <c r="BU272" s="1708"/>
      <c r="BV272" s="1708"/>
      <c r="BW272" s="1708"/>
      <c r="BX272" s="1708"/>
      <c r="BY272" s="1708"/>
      <c r="BZ272" s="1708"/>
      <c r="CA272" s="1708"/>
      <c r="CB272" s="1708"/>
      <c r="CC272" s="1708"/>
      <c r="CD272" s="1708"/>
      <c r="CE272" s="1708"/>
      <c r="CF272" s="1708"/>
      <c r="CG272" s="1708"/>
      <c r="CH272" s="1708"/>
      <c r="CI272" s="1708"/>
      <c r="CJ272" s="1708"/>
      <c r="CK272" s="1708"/>
      <c r="CL272" s="1708"/>
      <c r="CM272" s="1708"/>
      <c r="CN272" s="1708"/>
      <c r="CO272" s="1708"/>
      <c r="CP272" s="1708"/>
      <c r="CQ272" s="1708"/>
      <c r="CR272" s="1708"/>
      <c r="CS272" s="1708"/>
      <c r="CT272" s="1708"/>
      <c r="CU272" s="1708"/>
      <c r="CV272" s="1708"/>
      <c r="CW272" s="1708"/>
      <c r="CX272" s="1708"/>
      <c r="CY272" s="1708"/>
      <c r="CZ272" s="1708"/>
      <c r="DA272" s="1708"/>
      <c r="DB272" s="1708"/>
      <c r="DC272" s="1708"/>
      <c r="DD272" s="1708"/>
      <c r="DE272" s="1708"/>
      <c r="DF272" s="1708"/>
      <c r="DG272" s="1708"/>
      <c r="DH272" s="1708"/>
      <c r="DI272" s="1708"/>
      <c r="DJ272" s="1708"/>
      <c r="DK272" s="1708"/>
      <c r="DL272" s="1708"/>
      <c r="DM272" s="1708"/>
      <c r="DN272" s="1708"/>
      <c r="DO272" s="1708"/>
      <c r="DP272" s="1708"/>
      <c r="DQ272" s="1708"/>
      <c r="DR272" s="1708"/>
      <c r="DS272" s="1708"/>
      <c r="DT272" s="1708"/>
      <c r="DU272" s="1708"/>
      <c r="DV272" s="1708"/>
      <c r="DW272" s="1708"/>
      <c r="DX272" s="1708"/>
      <c r="DY272" s="1708"/>
      <c r="DZ272" s="1708"/>
      <c r="EA272" s="1708"/>
      <c r="EB272" s="1708"/>
      <c r="EC272" s="1708"/>
      <c r="ED272" s="1708"/>
      <c r="EE272" s="1708"/>
      <c r="EF272" s="1708"/>
      <c r="EG272" s="1708"/>
      <c r="EH272" s="1708"/>
      <c r="EI272" s="1708"/>
      <c r="EJ272" s="1708"/>
      <c r="EK272" s="1708"/>
      <c r="EL272" s="1708"/>
      <c r="EM272" s="1708"/>
      <c r="EN272" s="1708"/>
      <c r="EO272" s="1708"/>
      <c r="EP272" s="1708"/>
      <c r="EQ272" s="1708"/>
      <c r="ER272" s="1708"/>
      <c r="ES272" s="1708"/>
      <c r="ET272" s="1708"/>
      <c r="EU272" s="1708"/>
      <c r="EV272" s="1708"/>
      <c r="EW272" s="1708"/>
      <c r="EX272" s="1708"/>
      <c r="EY272" s="1708"/>
      <c r="EZ272" s="1708"/>
      <c r="FA272" s="1708"/>
      <c r="FB272" s="1708"/>
      <c r="FC272" s="1708"/>
      <c r="FD272" s="1708"/>
      <c r="FE272" s="1708"/>
      <c r="FF272" s="1708"/>
      <c r="FG272" s="1708"/>
      <c r="FH272" s="1708"/>
      <c r="FI272" s="1708"/>
      <c r="FJ272" s="1708"/>
      <c r="FK272" s="1708"/>
      <c r="FL272" s="1708"/>
      <c r="FM272" s="1708"/>
      <c r="FN272" s="1708"/>
      <c r="FO272" s="1708"/>
      <c r="FP272" s="1708"/>
      <c r="FQ272" s="1708"/>
      <c r="FR272" s="1708"/>
      <c r="FS272" s="1708"/>
      <c r="FT272" s="1708"/>
      <c r="FU272" s="1708"/>
      <c r="FV272" s="1708"/>
      <c r="FW272" s="1708"/>
      <c r="FX272" s="1708"/>
      <c r="FY272" s="1708"/>
      <c r="FZ272" s="1708"/>
      <c r="GA272" s="1708"/>
      <c r="GB272" s="1708"/>
      <c r="GC272" s="1708"/>
      <c r="GD272" s="1708"/>
      <c r="GE272" s="1708"/>
      <c r="GF272" s="1708"/>
      <c r="GG272" s="1708"/>
      <c r="GH272" s="1708"/>
      <c r="GI272" s="1708"/>
      <c r="GJ272" s="1708"/>
      <c r="GK272" s="1708"/>
      <c r="GL272" s="1708"/>
      <c r="GM272" s="1708"/>
      <c r="GN272" s="1708"/>
      <c r="GO272" s="1708"/>
      <c r="GP272" s="1708"/>
      <c r="GQ272" s="1708"/>
      <c r="GR272" s="1708"/>
      <c r="GS272" s="1708"/>
      <c r="GT272" s="1708"/>
      <c r="GU272" s="1708"/>
      <c r="GV272" s="1708"/>
      <c r="GW272" s="1708"/>
      <c r="GX272" s="1708"/>
      <c r="GY272" s="1708"/>
      <c r="GZ272" s="1708"/>
      <c r="HA272" s="1708"/>
      <c r="HB272" s="1708"/>
      <c r="HC272" s="1708"/>
      <c r="HD272" s="1708"/>
      <c r="HE272" s="1708"/>
      <c r="HF272" s="1708"/>
      <c r="HG272" s="1708"/>
      <c r="HH272" s="1708"/>
      <c r="HI272" s="1708"/>
      <c r="HJ272" s="1708"/>
      <c r="HK272" s="1708"/>
      <c r="HL272" s="1708"/>
      <c r="HM272" s="1708"/>
      <c r="HN272" s="1708"/>
      <c r="HO272" s="1708"/>
      <c r="HP272" s="1708"/>
      <c r="HQ272" s="1708"/>
      <c r="HR272" s="1708"/>
      <c r="HS272" s="1708"/>
      <c r="HT272" s="1708"/>
      <c r="HU272" s="1708"/>
      <c r="HV272" s="1708"/>
      <c r="HW272" s="1708"/>
      <c r="HX272" s="1708"/>
      <c r="HY272" s="1708"/>
      <c r="HZ272" s="1708"/>
      <c r="IA272" s="1708"/>
      <c r="IB272" s="1708"/>
      <c r="IC272" s="1708"/>
      <c r="ID272" s="1708"/>
      <c r="IE272" s="1708"/>
      <c r="IF272" s="1708"/>
      <c r="IG272" s="1708"/>
      <c r="IH272" s="1708"/>
      <c r="II272" s="1708"/>
      <c r="IJ272" s="1708"/>
      <c r="IK272" s="1708"/>
      <c r="IL272" s="1708"/>
      <c r="IM272" s="1708"/>
      <c r="IN272" s="1708"/>
      <c r="IO272" s="1708"/>
      <c r="IP272" s="1708"/>
      <c r="IQ272" s="1708"/>
      <c r="IR272" s="1708"/>
      <c r="IS272" s="1708"/>
      <c r="IT272" s="1708"/>
      <c r="IU272" s="1708"/>
      <c r="IV272" s="1708"/>
    </row>
    <row r="273" spans="2:256" s="57" customFormat="1" x14ac:dyDescent="0.25">
      <c r="B273" s="1836"/>
      <c r="G273" s="1849"/>
      <c r="J273" s="1850"/>
      <c r="K273" s="1850"/>
      <c r="S273" s="1708"/>
      <c r="T273" s="1708"/>
      <c r="U273" s="1708"/>
      <c r="V273" s="1708"/>
      <c r="W273" s="1708"/>
      <c r="X273" s="1708"/>
      <c r="Y273" s="1708"/>
      <c r="Z273" s="1708"/>
      <c r="AA273" s="1708"/>
      <c r="AB273" s="1708"/>
      <c r="AC273" s="1708"/>
      <c r="AD273" s="1708"/>
      <c r="AE273" s="1708"/>
      <c r="AF273" s="1708"/>
      <c r="AG273" s="1708"/>
      <c r="AH273" s="1708"/>
      <c r="AI273" s="1708"/>
      <c r="AJ273" s="1708"/>
      <c r="AK273" s="1708"/>
      <c r="AL273" s="1708"/>
      <c r="AM273" s="1708"/>
      <c r="AN273" s="1708"/>
      <c r="AO273" s="1708"/>
      <c r="AP273" s="1708"/>
      <c r="AQ273" s="1708"/>
      <c r="AR273" s="1708"/>
      <c r="AS273" s="1708"/>
      <c r="AT273" s="1708"/>
      <c r="AU273" s="1708"/>
      <c r="AV273" s="1708"/>
      <c r="AW273" s="1708"/>
      <c r="AX273" s="1708"/>
      <c r="AY273" s="1708"/>
      <c r="AZ273" s="1708"/>
      <c r="BA273" s="1708"/>
      <c r="BB273" s="1708"/>
      <c r="BC273" s="1708"/>
      <c r="BD273" s="1708"/>
      <c r="BE273" s="1708"/>
      <c r="BF273" s="1708"/>
      <c r="BG273" s="1708"/>
      <c r="BH273" s="1708"/>
      <c r="BI273" s="1708"/>
      <c r="BJ273" s="1708"/>
      <c r="BK273" s="1708"/>
      <c r="BL273" s="1708"/>
      <c r="BM273" s="1708"/>
      <c r="BN273" s="1708"/>
      <c r="BO273" s="1708"/>
      <c r="BP273" s="1708"/>
      <c r="BQ273" s="1708"/>
      <c r="BR273" s="1708"/>
      <c r="BS273" s="1708"/>
      <c r="BT273" s="1708"/>
      <c r="BU273" s="1708"/>
      <c r="BV273" s="1708"/>
      <c r="BW273" s="1708"/>
      <c r="BX273" s="1708"/>
      <c r="BY273" s="1708"/>
      <c r="BZ273" s="1708"/>
      <c r="CA273" s="1708"/>
      <c r="CB273" s="1708"/>
      <c r="CC273" s="1708"/>
      <c r="CD273" s="1708"/>
      <c r="CE273" s="1708"/>
      <c r="CF273" s="1708"/>
      <c r="CG273" s="1708"/>
      <c r="CH273" s="1708"/>
      <c r="CI273" s="1708"/>
      <c r="CJ273" s="1708"/>
      <c r="CK273" s="1708"/>
      <c r="CL273" s="1708"/>
      <c r="CM273" s="1708"/>
      <c r="CN273" s="1708"/>
      <c r="CO273" s="1708"/>
      <c r="CP273" s="1708"/>
      <c r="CQ273" s="1708"/>
      <c r="CR273" s="1708"/>
      <c r="CS273" s="1708"/>
      <c r="CT273" s="1708"/>
      <c r="CU273" s="1708"/>
      <c r="CV273" s="1708"/>
      <c r="CW273" s="1708"/>
      <c r="CX273" s="1708"/>
      <c r="CY273" s="1708"/>
      <c r="CZ273" s="1708"/>
      <c r="DA273" s="1708"/>
      <c r="DB273" s="1708"/>
      <c r="DC273" s="1708"/>
      <c r="DD273" s="1708"/>
      <c r="DE273" s="1708"/>
      <c r="DF273" s="1708"/>
      <c r="DG273" s="1708"/>
      <c r="DH273" s="1708"/>
      <c r="DI273" s="1708"/>
      <c r="DJ273" s="1708"/>
      <c r="DK273" s="1708"/>
      <c r="DL273" s="1708"/>
      <c r="DM273" s="1708"/>
      <c r="DN273" s="1708"/>
      <c r="DO273" s="1708"/>
      <c r="DP273" s="1708"/>
      <c r="DQ273" s="1708"/>
      <c r="DR273" s="1708"/>
      <c r="DS273" s="1708"/>
      <c r="DT273" s="1708"/>
      <c r="DU273" s="1708"/>
      <c r="DV273" s="1708"/>
      <c r="DW273" s="1708"/>
      <c r="DX273" s="1708"/>
      <c r="DY273" s="1708"/>
      <c r="DZ273" s="1708"/>
      <c r="EA273" s="1708"/>
      <c r="EB273" s="1708"/>
      <c r="EC273" s="1708"/>
      <c r="ED273" s="1708"/>
      <c r="EE273" s="1708"/>
      <c r="EF273" s="1708"/>
      <c r="EG273" s="1708"/>
      <c r="EH273" s="1708"/>
      <c r="EI273" s="1708"/>
      <c r="EJ273" s="1708"/>
      <c r="EK273" s="1708"/>
      <c r="EL273" s="1708"/>
      <c r="EM273" s="1708"/>
      <c r="EN273" s="1708"/>
      <c r="EO273" s="1708"/>
      <c r="EP273" s="1708"/>
      <c r="EQ273" s="1708"/>
      <c r="ER273" s="1708"/>
      <c r="ES273" s="1708"/>
      <c r="ET273" s="1708"/>
      <c r="EU273" s="1708"/>
      <c r="EV273" s="1708"/>
      <c r="EW273" s="1708"/>
      <c r="EX273" s="1708"/>
      <c r="EY273" s="1708"/>
      <c r="EZ273" s="1708"/>
      <c r="FA273" s="1708"/>
      <c r="FB273" s="1708"/>
      <c r="FC273" s="1708"/>
      <c r="FD273" s="1708"/>
      <c r="FE273" s="1708"/>
      <c r="FF273" s="1708"/>
      <c r="FG273" s="1708"/>
      <c r="FH273" s="1708"/>
      <c r="FI273" s="1708"/>
      <c r="FJ273" s="1708"/>
      <c r="FK273" s="1708"/>
      <c r="FL273" s="1708"/>
      <c r="FM273" s="1708"/>
      <c r="FN273" s="1708"/>
      <c r="FO273" s="1708"/>
      <c r="FP273" s="1708"/>
      <c r="FQ273" s="1708"/>
      <c r="FR273" s="1708"/>
      <c r="FS273" s="1708"/>
      <c r="FT273" s="1708"/>
      <c r="FU273" s="1708"/>
      <c r="FV273" s="1708"/>
      <c r="FW273" s="1708"/>
      <c r="FX273" s="1708"/>
      <c r="FY273" s="1708"/>
      <c r="FZ273" s="1708"/>
      <c r="GA273" s="1708"/>
      <c r="GB273" s="1708"/>
      <c r="GC273" s="1708"/>
      <c r="GD273" s="1708"/>
      <c r="GE273" s="1708"/>
      <c r="GF273" s="1708"/>
      <c r="GG273" s="1708"/>
      <c r="GH273" s="1708"/>
      <c r="GI273" s="1708"/>
      <c r="GJ273" s="1708"/>
      <c r="GK273" s="1708"/>
      <c r="GL273" s="1708"/>
      <c r="GM273" s="1708"/>
      <c r="GN273" s="1708"/>
      <c r="GO273" s="1708"/>
      <c r="GP273" s="1708"/>
      <c r="GQ273" s="1708"/>
      <c r="GR273" s="1708"/>
      <c r="GS273" s="1708"/>
      <c r="GT273" s="1708"/>
      <c r="GU273" s="1708"/>
      <c r="GV273" s="1708"/>
      <c r="GW273" s="1708"/>
      <c r="GX273" s="1708"/>
      <c r="GY273" s="1708"/>
      <c r="GZ273" s="1708"/>
      <c r="HA273" s="1708"/>
      <c r="HB273" s="1708"/>
      <c r="HC273" s="1708"/>
      <c r="HD273" s="1708"/>
      <c r="HE273" s="1708"/>
      <c r="HF273" s="1708"/>
      <c r="HG273" s="1708"/>
      <c r="HH273" s="1708"/>
      <c r="HI273" s="1708"/>
      <c r="HJ273" s="1708"/>
      <c r="HK273" s="1708"/>
      <c r="HL273" s="1708"/>
      <c r="HM273" s="1708"/>
      <c r="HN273" s="1708"/>
      <c r="HO273" s="1708"/>
      <c r="HP273" s="1708"/>
      <c r="HQ273" s="1708"/>
      <c r="HR273" s="1708"/>
      <c r="HS273" s="1708"/>
      <c r="HT273" s="1708"/>
      <c r="HU273" s="1708"/>
      <c r="HV273" s="1708"/>
      <c r="HW273" s="1708"/>
      <c r="HX273" s="1708"/>
      <c r="HY273" s="1708"/>
      <c r="HZ273" s="1708"/>
      <c r="IA273" s="1708"/>
      <c r="IB273" s="1708"/>
      <c r="IC273" s="1708"/>
      <c r="ID273" s="1708"/>
      <c r="IE273" s="1708"/>
      <c r="IF273" s="1708"/>
      <c r="IG273" s="1708"/>
      <c r="IH273" s="1708"/>
      <c r="II273" s="1708"/>
      <c r="IJ273" s="1708"/>
      <c r="IK273" s="1708"/>
      <c r="IL273" s="1708"/>
      <c r="IM273" s="1708"/>
      <c r="IN273" s="1708"/>
      <c r="IO273" s="1708"/>
      <c r="IP273" s="1708"/>
      <c r="IQ273" s="1708"/>
      <c r="IR273" s="1708"/>
      <c r="IS273" s="1708"/>
      <c r="IT273" s="1708"/>
      <c r="IU273" s="1708"/>
      <c r="IV273" s="1708"/>
    </row>
    <row r="274" spans="2:256" s="57" customFormat="1" x14ac:dyDescent="0.25">
      <c r="B274" s="1836"/>
      <c r="G274" s="1849"/>
      <c r="J274" s="1850"/>
      <c r="K274" s="1850"/>
      <c r="S274" s="1708"/>
      <c r="T274" s="1708"/>
      <c r="U274" s="1708"/>
      <c r="V274" s="1708"/>
      <c r="W274" s="1708"/>
      <c r="X274" s="1708"/>
      <c r="Y274" s="1708"/>
      <c r="Z274" s="1708"/>
      <c r="AA274" s="1708"/>
      <c r="AB274" s="1708"/>
      <c r="AC274" s="1708"/>
      <c r="AD274" s="1708"/>
      <c r="AE274" s="1708"/>
      <c r="AF274" s="1708"/>
      <c r="AG274" s="1708"/>
      <c r="AH274" s="1708"/>
      <c r="AI274" s="1708"/>
      <c r="AJ274" s="1708"/>
      <c r="AK274" s="1708"/>
      <c r="AL274" s="1708"/>
      <c r="AM274" s="1708"/>
      <c r="AN274" s="1708"/>
      <c r="AO274" s="1708"/>
      <c r="AP274" s="1708"/>
      <c r="AQ274" s="1708"/>
      <c r="AR274" s="1708"/>
      <c r="AS274" s="1708"/>
      <c r="AT274" s="1708"/>
      <c r="AU274" s="1708"/>
      <c r="AV274" s="1708"/>
      <c r="AW274" s="1708"/>
      <c r="AX274" s="1708"/>
      <c r="AY274" s="1708"/>
      <c r="AZ274" s="1708"/>
      <c r="BA274" s="1708"/>
      <c r="BB274" s="1708"/>
      <c r="BC274" s="1708"/>
      <c r="BD274" s="1708"/>
      <c r="BE274" s="1708"/>
      <c r="BF274" s="1708"/>
      <c r="BG274" s="1708"/>
      <c r="BH274" s="1708"/>
      <c r="BI274" s="1708"/>
      <c r="BJ274" s="1708"/>
      <c r="BK274" s="1708"/>
      <c r="BL274" s="1708"/>
      <c r="BM274" s="1708"/>
      <c r="BN274" s="1708"/>
      <c r="BO274" s="1708"/>
      <c r="BP274" s="1708"/>
      <c r="BQ274" s="1708"/>
      <c r="BR274" s="1708"/>
      <c r="BS274" s="1708"/>
      <c r="BT274" s="1708"/>
      <c r="BU274" s="1708"/>
      <c r="BV274" s="1708"/>
      <c r="BW274" s="1708"/>
      <c r="BX274" s="1708"/>
      <c r="BY274" s="1708"/>
      <c r="BZ274" s="1708"/>
      <c r="CA274" s="1708"/>
      <c r="CB274" s="1708"/>
      <c r="CC274" s="1708"/>
      <c r="CD274" s="1708"/>
      <c r="CE274" s="1708"/>
      <c r="CF274" s="1708"/>
      <c r="CG274" s="1708"/>
      <c r="CH274" s="1708"/>
      <c r="CI274" s="1708"/>
      <c r="CJ274" s="1708"/>
      <c r="CK274" s="1708"/>
      <c r="CL274" s="1708"/>
      <c r="CM274" s="1708"/>
      <c r="CN274" s="1708"/>
      <c r="CO274" s="1708"/>
      <c r="CP274" s="1708"/>
      <c r="CQ274" s="1708"/>
      <c r="CR274" s="1708"/>
      <c r="CS274" s="1708"/>
      <c r="CT274" s="1708"/>
      <c r="CU274" s="1708"/>
      <c r="CV274" s="1708"/>
      <c r="CW274" s="1708"/>
      <c r="CX274" s="1708"/>
      <c r="CY274" s="1708"/>
      <c r="CZ274" s="1708"/>
      <c r="DA274" s="1708"/>
      <c r="DB274" s="1708"/>
      <c r="DC274" s="1708"/>
      <c r="DD274" s="1708"/>
      <c r="DE274" s="1708"/>
      <c r="DF274" s="1708"/>
      <c r="DG274" s="1708"/>
      <c r="DH274" s="1708"/>
      <c r="DI274" s="1708"/>
      <c r="DJ274" s="1708"/>
      <c r="DK274" s="1708"/>
      <c r="DL274" s="1708"/>
      <c r="DM274" s="1708"/>
      <c r="DN274" s="1708"/>
      <c r="DO274" s="1708"/>
      <c r="DP274" s="1708"/>
      <c r="DQ274" s="1708"/>
      <c r="DR274" s="1708"/>
      <c r="DS274" s="1708"/>
      <c r="DT274" s="1708"/>
      <c r="DU274" s="1708"/>
      <c r="DV274" s="1708"/>
      <c r="DW274" s="1708"/>
      <c r="DX274" s="1708"/>
      <c r="DY274" s="1708"/>
      <c r="DZ274" s="1708"/>
      <c r="EA274" s="1708"/>
      <c r="EB274" s="1708"/>
      <c r="EC274" s="1708"/>
      <c r="ED274" s="1708"/>
      <c r="EE274" s="1708"/>
      <c r="EF274" s="1708"/>
      <c r="EG274" s="1708"/>
      <c r="EH274" s="1708"/>
      <c r="EI274" s="1708"/>
      <c r="EJ274" s="1708"/>
      <c r="EK274" s="1708"/>
      <c r="EL274" s="1708"/>
      <c r="EM274" s="1708"/>
      <c r="EN274" s="1708"/>
      <c r="EO274" s="1708"/>
      <c r="EP274" s="1708"/>
      <c r="EQ274" s="1708"/>
      <c r="ER274" s="1708"/>
      <c r="ES274" s="1708"/>
      <c r="ET274" s="1708"/>
      <c r="EU274" s="1708"/>
      <c r="EV274" s="1708"/>
      <c r="EW274" s="1708"/>
      <c r="EX274" s="1708"/>
      <c r="EY274" s="1708"/>
      <c r="EZ274" s="1708"/>
      <c r="FA274" s="1708"/>
      <c r="FB274" s="1708"/>
      <c r="FC274" s="1708"/>
      <c r="FD274" s="1708"/>
      <c r="FE274" s="1708"/>
      <c r="FF274" s="1708"/>
      <c r="FG274" s="1708"/>
      <c r="FH274" s="1708"/>
      <c r="FI274" s="1708"/>
      <c r="FJ274" s="1708"/>
      <c r="FK274" s="1708"/>
      <c r="FL274" s="1708"/>
      <c r="FM274" s="1708"/>
      <c r="FN274" s="1708"/>
      <c r="FO274" s="1708"/>
      <c r="FP274" s="1708"/>
      <c r="FQ274" s="1708"/>
      <c r="FR274" s="1708"/>
      <c r="FS274" s="1708"/>
      <c r="FT274" s="1708"/>
      <c r="FU274" s="1708"/>
      <c r="FV274" s="1708"/>
      <c r="FW274" s="1708"/>
      <c r="FX274" s="1708"/>
      <c r="FY274" s="1708"/>
      <c r="FZ274" s="1708"/>
      <c r="GA274" s="1708"/>
      <c r="GB274" s="1708"/>
      <c r="GC274" s="1708"/>
      <c r="GD274" s="1708"/>
      <c r="GE274" s="1708"/>
      <c r="GF274" s="1708"/>
      <c r="GG274" s="1708"/>
      <c r="GH274" s="1708"/>
      <c r="GI274" s="1708"/>
      <c r="GJ274" s="1708"/>
      <c r="GK274" s="1708"/>
      <c r="GL274" s="1708"/>
      <c r="GM274" s="1708"/>
      <c r="GN274" s="1708"/>
      <c r="GO274" s="1708"/>
      <c r="GP274" s="1708"/>
      <c r="GQ274" s="1708"/>
      <c r="GR274" s="1708"/>
      <c r="GS274" s="1708"/>
      <c r="GT274" s="1708"/>
      <c r="GU274" s="1708"/>
      <c r="GV274" s="1708"/>
      <c r="GW274" s="1708"/>
      <c r="GX274" s="1708"/>
      <c r="GY274" s="1708"/>
      <c r="GZ274" s="1708"/>
      <c r="HA274" s="1708"/>
      <c r="HB274" s="1708"/>
      <c r="HC274" s="1708"/>
      <c r="HD274" s="1708"/>
      <c r="HE274" s="1708"/>
      <c r="HF274" s="1708"/>
      <c r="HG274" s="1708"/>
      <c r="HH274" s="1708"/>
      <c r="HI274" s="1708"/>
      <c r="HJ274" s="1708"/>
      <c r="HK274" s="1708"/>
      <c r="HL274" s="1708"/>
      <c r="HM274" s="1708"/>
      <c r="HN274" s="1708"/>
      <c r="HO274" s="1708"/>
      <c r="HP274" s="1708"/>
      <c r="HQ274" s="1708"/>
      <c r="HR274" s="1708"/>
      <c r="HS274" s="1708"/>
      <c r="HT274" s="1708"/>
      <c r="HU274" s="1708"/>
      <c r="HV274" s="1708"/>
      <c r="HW274" s="1708"/>
      <c r="HX274" s="1708"/>
      <c r="HY274" s="1708"/>
      <c r="HZ274" s="1708"/>
      <c r="IA274" s="1708"/>
      <c r="IB274" s="1708"/>
      <c r="IC274" s="1708"/>
      <c r="ID274" s="1708"/>
      <c r="IE274" s="1708"/>
      <c r="IF274" s="1708"/>
      <c r="IG274" s="1708"/>
      <c r="IH274" s="1708"/>
      <c r="II274" s="1708"/>
      <c r="IJ274" s="1708"/>
      <c r="IK274" s="1708"/>
      <c r="IL274" s="1708"/>
      <c r="IM274" s="1708"/>
      <c r="IN274" s="1708"/>
      <c r="IO274" s="1708"/>
      <c r="IP274" s="1708"/>
      <c r="IQ274" s="1708"/>
      <c r="IR274" s="1708"/>
      <c r="IS274" s="1708"/>
      <c r="IT274" s="1708"/>
      <c r="IU274" s="1708"/>
      <c r="IV274" s="1708"/>
    </row>
    <row r="275" spans="2:256" s="57" customFormat="1" x14ac:dyDescent="0.25">
      <c r="B275" s="1836"/>
      <c r="G275" s="1849"/>
      <c r="J275" s="1850"/>
      <c r="K275" s="1850"/>
      <c r="S275" s="1708"/>
      <c r="T275" s="1708"/>
      <c r="U275" s="1708"/>
      <c r="V275" s="1708"/>
      <c r="W275" s="1708"/>
      <c r="X275" s="1708"/>
      <c r="Y275" s="1708"/>
      <c r="Z275" s="1708"/>
      <c r="AA275" s="1708"/>
      <c r="AB275" s="1708"/>
      <c r="AC275" s="1708"/>
      <c r="AD275" s="1708"/>
      <c r="AE275" s="1708"/>
      <c r="AF275" s="1708"/>
      <c r="AG275" s="1708"/>
      <c r="AH275" s="1708"/>
      <c r="AI275" s="1708"/>
      <c r="AJ275" s="1708"/>
      <c r="AK275" s="1708"/>
      <c r="AL275" s="1708"/>
      <c r="AM275" s="1708"/>
      <c r="AN275" s="1708"/>
      <c r="AO275" s="1708"/>
      <c r="AP275" s="1708"/>
      <c r="AQ275" s="1708"/>
      <c r="AR275" s="1708"/>
      <c r="AS275" s="1708"/>
      <c r="AT275" s="1708"/>
      <c r="AU275" s="1708"/>
      <c r="AV275" s="1708"/>
      <c r="AW275" s="1708"/>
      <c r="AX275" s="1708"/>
      <c r="AY275" s="1708"/>
      <c r="AZ275" s="1708"/>
      <c r="BA275" s="1708"/>
      <c r="BB275" s="1708"/>
      <c r="BC275" s="1708"/>
      <c r="BD275" s="1708"/>
      <c r="BE275" s="1708"/>
      <c r="BF275" s="1708"/>
      <c r="BG275" s="1708"/>
      <c r="BH275" s="1708"/>
      <c r="BI275" s="1708"/>
      <c r="BJ275" s="1708"/>
      <c r="BK275" s="1708"/>
      <c r="BL275" s="1708"/>
      <c r="BM275" s="1708"/>
      <c r="BN275" s="1708"/>
      <c r="BO275" s="1708"/>
      <c r="BP275" s="1708"/>
      <c r="BQ275" s="1708"/>
      <c r="BR275" s="1708"/>
      <c r="BS275" s="1708"/>
      <c r="BT275" s="1708"/>
      <c r="BU275" s="1708"/>
      <c r="BV275" s="1708"/>
      <c r="BW275" s="1708"/>
      <c r="BX275" s="1708"/>
      <c r="BY275" s="1708"/>
      <c r="BZ275" s="1708"/>
      <c r="CA275" s="1708"/>
      <c r="CB275" s="1708"/>
      <c r="CC275" s="1708"/>
      <c r="CD275" s="1708"/>
      <c r="CE275" s="1708"/>
      <c r="CF275" s="1708"/>
      <c r="CG275" s="1708"/>
      <c r="CH275" s="1708"/>
      <c r="CI275" s="1708"/>
      <c r="CJ275" s="1708"/>
      <c r="CK275" s="1708"/>
      <c r="CL275" s="1708"/>
      <c r="CM275" s="1708"/>
      <c r="CN275" s="1708"/>
      <c r="CO275" s="1708"/>
      <c r="CP275" s="1708"/>
      <c r="CQ275" s="1708"/>
      <c r="CR275" s="1708"/>
      <c r="CS275" s="1708"/>
      <c r="CT275" s="1708"/>
      <c r="CU275" s="1708"/>
      <c r="CV275" s="1708"/>
      <c r="CW275" s="1708"/>
      <c r="CX275" s="1708"/>
      <c r="CY275" s="1708"/>
      <c r="CZ275" s="1708"/>
      <c r="DA275" s="1708"/>
      <c r="DB275" s="1708"/>
      <c r="DC275" s="1708"/>
      <c r="DD275" s="1708"/>
      <c r="DE275" s="1708"/>
      <c r="DF275" s="1708"/>
      <c r="DG275" s="1708"/>
      <c r="DH275" s="1708"/>
      <c r="DI275" s="1708"/>
      <c r="DJ275" s="1708"/>
      <c r="DK275" s="1708"/>
      <c r="DL275" s="1708"/>
      <c r="DM275" s="1708"/>
      <c r="DN275" s="1708"/>
      <c r="DO275" s="1708"/>
      <c r="DP275" s="1708"/>
      <c r="DQ275" s="1708"/>
      <c r="DR275" s="1708"/>
      <c r="DS275" s="1708"/>
      <c r="DT275" s="1708"/>
      <c r="DU275" s="1708"/>
      <c r="DV275" s="1708"/>
      <c r="DW275" s="1708"/>
      <c r="DX275" s="1708"/>
      <c r="DY275" s="1708"/>
      <c r="DZ275" s="1708"/>
      <c r="EA275" s="1708"/>
      <c r="EB275" s="1708"/>
      <c r="EC275" s="1708"/>
      <c r="ED275" s="1708"/>
      <c r="EE275" s="1708"/>
      <c r="EF275" s="1708"/>
      <c r="EG275" s="1708"/>
      <c r="EH275" s="1708"/>
      <c r="EI275" s="1708"/>
      <c r="EJ275" s="1708"/>
      <c r="EK275" s="1708"/>
      <c r="EL275" s="1708"/>
      <c r="EM275" s="1708"/>
      <c r="EN275" s="1708"/>
      <c r="EO275" s="1708"/>
      <c r="EP275" s="1708"/>
      <c r="EQ275" s="1708"/>
      <c r="ER275" s="1708"/>
      <c r="ES275" s="1708"/>
      <c r="ET275" s="1708"/>
      <c r="EU275" s="1708"/>
      <c r="EV275" s="1708"/>
      <c r="EW275" s="1708"/>
      <c r="EX275" s="1708"/>
      <c r="EY275" s="1708"/>
      <c r="EZ275" s="1708"/>
      <c r="FA275" s="1708"/>
      <c r="FB275" s="1708"/>
      <c r="FC275" s="1708"/>
      <c r="FD275" s="1708"/>
      <c r="FE275" s="1708"/>
      <c r="FF275" s="1708"/>
      <c r="FG275" s="1708"/>
      <c r="FH275" s="1708"/>
      <c r="FI275" s="1708"/>
      <c r="FJ275" s="1708"/>
      <c r="FK275" s="1708"/>
      <c r="FL275" s="1708"/>
      <c r="FM275" s="1708"/>
      <c r="FN275" s="1708"/>
      <c r="FO275" s="1708"/>
      <c r="FP275" s="1708"/>
      <c r="FQ275" s="1708"/>
      <c r="FR275" s="1708"/>
      <c r="FS275" s="1708"/>
      <c r="FT275" s="1708"/>
      <c r="FU275" s="1708"/>
      <c r="FV275" s="1708"/>
      <c r="FW275" s="1708"/>
      <c r="FX275" s="1708"/>
      <c r="FY275" s="1708"/>
      <c r="FZ275" s="1708"/>
      <c r="GA275" s="1708"/>
      <c r="GB275" s="1708"/>
      <c r="GC275" s="1708"/>
      <c r="GD275" s="1708"/>
      <c r="GE275" s="1708"/>
      <c r="GF275" s="1708"/>
      <c r="GG275" s="1708"/>
      <c r="GH275" s="1708"/>
      <c r="GI275" s="1708"/>
      <c r="GJ275" s="1708"/>
      <c r="GK275" s="1708"/>
      <c r="GL275" s="1708"/>
      <c r="GM275" s="1708"/>
      <c r="GN275" s="1708"/>
      <c r="GO275" s="1708"/>
      <c r="GP275" s="1708"/>
      <c r="GQ275" s="1708"/>
      <c r="GR275" s="1708"/>
      <c r="GS275" s="1708"/>
      <c r="GT275" s="1708"/>
      <c r="GU275" s="1708"/>
      <c r="GV275" s="1708"/>
      <c r="GW275" s="1708"/>
      <c r="GX275" s="1708"/>
      <c r="GY275" s="1708"/>
      <c r="GZ275" s="1708"/>
      <c r="HA275" s="1708"/>
      <c r="HB275" s="1708"/>
      <c r="HC275" s="1708"/>
      <c r="HD275" s="1708"/>
      <c r="HE275" s="1708"/>
      <c r="HF275" s="1708"/>
      <c r="HG275" s="1708"/>
      <c r="HH275" s="1708"/>
      <c r="HI275" s="1708"/>
      <c r="HJ275" s="1708"/>
      <c r="HK275" s="1708"/>
      <c r="HL275" s="1708"/>
      <c r="HM275" s="1708"/>
      <c r="HN275" s="1708"/>
      <c r="HO275" s="1708"/>
      <c r="HP275" s="1708"/>
      <c r="HQ275" s="1708"/>
      <c r="HR275" s="1708"/>
      <c r="HS275" s="1708"/>
      <c r="HT275" s="1708"/>
      <c r="HU275" s="1708"/>
      <c r="HV275" s="1708"/>
      <c r="HW275" s="1708"/>
      <c r="HX275" s="1708"/>
      <c r="HY275" s="1708"/>
      <c r="HZ275" s="1708"/>
      <c r="IA275" s="1708"/>
      <c r="IB275" s="1708"/>
      <c r="IC275" s="1708"/>
      <c r="ID275" s="1708"/>
      <c r="IE275" s="1708"/>
      <c r="IF275" s="1708"/>
      <c r="IG275" s="1708"/>
      <c r="IH275" s="1708"/>
      <c r="II275" s="1708"/>
      <c r="IJ275" s="1708"/>
      <c r="IK275" s="1708"/>
      <c r="IL275" s="1708"/>
      <c r="IM275" s="1708"/>
      <c r="IN275" s="1708"/>
      <c r="IO275" s="1708"/>
      <c r="IP275" s="1708"/>
      <c r="IQ275" s="1708"/>
      <c r="IR275" s="1708"/>
      <c r="IS275" s="1708"/>
      <c r="IT275" s="1708"/>
      <c r="IU275" s="1708"/>
      <c r="IV275" s="1708"/>
    </row>
    <row r="276" spans="2:256" s="57" customFormat="1" x14ac:dyDescent="0.25">
      <c r="B276" s="1836"/>
      <c r="G276" s="1849"/>
      <c r="J276" s="1850"/>
      <c r="K276" s="1850"/>
      <c r="S276" s="1708"/>
      <c r="T276" s="1708"/>
      <c r="U276" s="1708"/>
      <c r="V276" s="1708"/>
      <c r="W276" s="1708"/>
      <c r="X276" s="1708"/>
      <c r="Y276" s="1708"/>
      <c r="Z276" s="1708"/>
      <c r="AA276" s="1708"/>
      <c r="AB276" s="1708"/>
      <c r="AC276" s="1708"/>
      <c r="AD276" s="1708"/>
      <c r="AE276" s="1708"/>
      <c r="AF276" s="1708"/>
      <c r="AG276" s="1708"/>
      <c r="AH276" s="1708"/>
      <c r="AI276" s="1708"/>
      <c r="AJ276" s="1708"/>
      <c r="AK276" s="1708"/>
      <c r="AL276" s="1708"/>
      <c r="AM276" s="1708"/>
      <c r="AN276" s="1708"/>
      <c r="AO276" s="1708"/>
      <c r="AP276" s="1708"/>
      <c r="AQ276" s="1708"/>
      <c r="AR276" s="1708"/>
      <c r="AS276" s="1708"/>
      <c r="AT276" s="1708"/>
      <c r="AU276" s="1708"/>
      <c r="AV276" s="1708"/>
      <c r="AW276" s="1708"/>
      <c r="AX276" s="1708"/>
      <c r="AY276" s="1708"/>
      <c r="AZ276" s="1708"/>
      <c r="BA276" s="1708"/>
      <c r="BB276" s="1708"/>
      <c r="BC276" s="1708"/>
      <c r="BD276" s="1708"/>
      <c r="BE276" s="1708"/>
      <c r="BF276" s="1708"/>
      <c r="BG276" s="1708"/>
      <c r="BH276" s="1708"/>
      <c r="BI276" s="1708"/>
      <c r="BJ276" s="1708"/>
      <c r="BK276" s="1708"/>
      <c r="BL276" s="1708"/>
      <c r="BM276" s="1708"/>
      <c r="BN276" s="1708"/>
      <c r="BO276" s="1708"/>
      <c r="BP276" s="1708"/>
      <c r="BQ276" s="1708"/>
      <c r="BR276" s="1708"/>
      <c r="BS276" s="1708"/>
      <c r="BT276" s="1708"/>
      <c r="BU276" s="1708"/>
      <c r="BV276" s="1708"/>
      <c r="BW276" s="1708"/>
      <c r="BX276" s="1708"/>
      <c r="BY276" s="1708"/>
      <c r="BZ276" s="1708"/>
      <c r="CA276" s="1708"/>
      <c r="CB276" s="1708"/>
      <c r="CC276" s="1708"/>
      <c r="CD276" s="1708"/>
      <c r="CE276" s="1708"/>
      <c r="CF276" s="1708"/>
      <c r="CG276" s="1708"/>
      <c r="CH276" s="1708"/>
      <c r="CI276" s="1708"/>
      <c r="CJ276" s="1708"/>
      <c r="CK276" s="1708"/>
      <c r="CL276" s="1708"/>
      <c r="CM276" s="1708"/>
      <c r="CN276" s="1708"/>
      <c r="CO276" s="1708"/>
      <c r="CP276" s="1708"/>
      <c r="CQ276" s="1708"/>
      <c r="CR276" s="1708"/>
      <c r="CS276" s="1708"/>
      <c r="CT276" s="1708"/>
      <c r="CU276" s="1708"/>
      <c r="CV276" s="1708"/>
      <c r="CW276" s="1708"/>
      <c r="CX276" s="1708"/>
      <c r="CY276" s="1708"/>
      <c r="CZ276" s="1708"/>
      <c r="DA276" s="1708"/>
      <c r="DB276" s="1708"/>
      <c r="DC276" s="1708"/>
      <c r="DD276" s="1708"/>
      <c r="DE276" s="1708"/>
      <c r="DF276" s="1708"/>
      <c r="DG276" s="1708"/>
      <c r="DH276" s="1708"/>
      <c r="DI276" s="1708"/>
      <c r="DJ276" s="1708"/>
      <c r="DK276" s="1708"/>
      <c r="DL276" s="1708"/>
      <c r="DM276" s="1708"/>
      <c r="DN276" s="1708"/>
      <c r="DO276" s="1708"/>
      <c r="DP276" s="1708"/>
      <c r="DQ276" s="1708"/>
      <c r="DR276" s="1708"/>
      <c r="DS276" s="1708"/>
      <c r="DT276" s="1708"/>
      <c r="DU276" s="1708"/>
      <c r="DV276" s="1708"/>
      <c r="DW276" s="1708"/>
      <c r="DX276" s="1708"/>
      <c r="DY276" s="1708"/>
      <c r="DZ276" s="1708"/>
      <c r="EA276" s="1708"/>
      <c r="EB276" s="1708"/>
      <c r="EC276" s="1708"/>
      <c r="ED276" s="1708"/>
      <c r="EE276" s="1708"/>
      <c r="EF276" s="1708"/>
      <c r="EG276" s="1708"/>
      <c r="EH276" s="1708"/>
      <c r="EI276" s="1708"/>
      <c r="EJ276" s="1708"/>
      <c r="EK276" s="1708"/>
      <c r="EL276" s="1708"/>
      <c r="EM276" s="1708"/>
      <c r="EN276" s="1708"/>
      <c r="EO276" s="1708"/>
      <c r="EP276" s="1708"/>
      <c r="EQ276" s="1708"/>
      <c r="ER276" s="1708"/>
      <c r="ES276" s="1708"/>
      <c r="ET276" s="1708"/>
      <c r="EU276" s="1708"/>
      <c r="EV276" s="1708"/>
      <c r="EW276" s="1708"/>
      <c r="EX276" s="1708"/>
      <c r="EY276" s="1708"/>
      <c r="EZ276" s="1708"/>
      <c r="FA276" s="1708"/>
      <c r="FB276" s="1708"/>
      <c r="FC276" s="1708"/>
      <c r="FD276" s="1708"/>
      <c r="FE276" s="1708"/>
      <c r="FF276" s="1708"/>
      <c r="FG276" s="1708"/>
      <c r="FH276" s="1708"/>
      <c r="FI276" s="1708"/>
      <c r="FJ276" s="1708"/>
      <c r="FK276" s="1708"/>
      <c r="FL276" s="1708"/>
      <c r="FM276" s="1708"/>
      <c r="FN276" s="1708"/>
      <c r="FO276" s="1708"/>
      <c r="FP276" s="1708"/>
      <c r="FQ276" s="1708"/>
      <c r="FR276" s="1708"/>
      <c r="FS276" s="1708"/>
      <c r="FT276" s="1708"/>
      <c r="FU276" s="1708"/>
      <c r="FV276" s="1708"/>
      <c r="FW276" s="1708"/>
      <c r="FX276" s="1708"/>
      <c r="FY276" s="1708"/>
      <c r="FZ276" s="1708"/>
      <c r="GA276" s="1708"/>
      <c r="GB276" s="1708"/>
      <c r="GC276" s="1708"/>
      <c r="GD276" s="1708"/>
      <c r="GE276" s="1708"/>
      <c r="GF276" s="1708"/>
      <c r="GG276" s="1708"/>
      <c r="GH276" s="1708"/>
      <c r="GI276" s="1708"/>
      <c r="GJ276" s="1708"/>
      <c r="GK276" s="1708"/>
      <c r="GL276" s="1708"/>
      <c r="GM276" s="1708"/>
      <c r="GN276" s="1708"/>
      <c r="GO276" s="1708"/>
      <c r="GP276" s="1708"/>
      <c r="GQ276" s="1708"/>
      <c r="GR276" s="1708"/>
      <c r="GS276" s="1708"/>
      <c r="GT276" s="1708"/>
      <c r="GU276" s="1708"/>
      <c r="GV276" s="1708"/>
      <c r="GW276" s="1708"/>
      <c r="GX276" s="1708"/>
      <c r="GY276" s="1708"/>
      <c r="GZ276" s="1708"/>
      <c r="HA276" s="1708"/>
      <c r="HB276" s="1708"/>
      <c r="HC276" s="1708"/>
      <c r="HD276" s="1708"/>
      <c r="HE276" s="1708"/>
      <c r="HF276" s="1708"/>
      <c r="HG276" s="1708"/>
      <c r="HH276" s="1708"/>
      <c r="HI276" s="1708"/>
      <c r="HJ276" s="1708"/>
      <c r="HK276" s="1708"/>
      <c r="HL276" s="1708"/>
      <c r="HM276" s="1708"/>
      <c r="HN276" s="1708"/>
      <c r="HO276" s="1708"/>
      <c r="HP276" s="1708"/>
      <c r="HQ276" s="1708"/>
      <c r="HR276" s="1708"/>
      <c r="HS276" s="1708"/>
      <c r="HT276" s="1708"/>
      <c r="HU276" s="1708"/>
      <c r="HV276" s="1708"/>
      <c r="HW276" s="1708"/>
      <c r="HX276" s="1708"/>
      <c r="HY276" s="1708"/>
      <c r="HZ276" s="1708"/>
      <c r="IA276" s="1708"/>
      <c r="IB276" s="1708"/>
      <c r="IC276" s="1708"/>
      <c r="ID276" s="1708"/>
      <c r="IE276" s="1708"/>
      <c r="IF276" s="1708"/>
      <c r="IG276" s="1708"/>
      <c r="IH276" s="1708"/>
      <c r="II276" s="1708"/>
      <c r="IJ276" s="1708"/>
      <c r="IK276" s="1708"/>
      <c r="IL276" s="1708"/>
      <c r="IM276" s="1708"/>
      <c r="IN276" s="1708"/>
      <c r="IO276" s="1708"/>
      <c r="IP276" s="1708"/>
      <c r="IQ276" s="1708"/>
      <c r="IR276" s="1708"/>
      <c r="IS276" s="1708"/>
      <c r="IT276" s="1708"/>
      <c r="IU276" s="1708"/>
      <c r="IV276" s="1708"/>
    </row>
    <row r="277" spans="2:256" s="57" customFormat="1" x14ac:dyDescent="0.25">
      <c r="B277" s="1836"/>
      <c r="G277" s="1849"/>
      <c r="J277" s="1850"/>
      <c r="K277" s="1850"/>
      <c r="S277" s="1708"/>
      <c r="T277" s="1708"/>
      <c r="U277" s="1708"/>
      <c r="V277" s="1708"/>
      <c r="W277" s="1708"/>
      <c r="X277" s="1708"/>
      <c r="Y277" s="1708"/>
      <c r="Z277" s="1708"/>
      <c r="AA277" s="1708"/>
      <c r="AB277" s="1708"/>
      <c r="AC277" s="1708"/>
      <c r="AD277" s="1708"/>
      <c r="AE277" s="1708"/>
      <c r="AF277" s="1708"/>
      <c r="AG277" s="1708"/>
      <c r="AH277" s="1708"/>
      <c r="AI277" s="1708"/>
      <c r="AJ277" s="1708"/>
      <c r="AK277" s="1708"/>
      <c r="AL277" s="1708"/>
      <c r="AM277" s="1708"/>
      <c r="AN277" s="1708"/>
      <c r="AO277" s="1708"/>
      <c r="AP277" s="1708"/>
      <c r="AQ277" s="1708"/>
      <c r="AR277" s="1708"/>
      <c r="AS277" s="1708"/>
      <c r="AT277" s="1708"/>
      <c r="AU277" s="1708"/>
      <c r="AV277" s="1708"/>
      <c r="AW277" s="1708"/>
      <c r="AX277" s="1708"/>
      <c r="AY277" s="1708"/>
      <c r="AZ277" s="1708"/>
      <c r="BA277" s="1708"/>
      <c r="BB277" s="1708"/>
      <c r="BC277" s="1708"/>
      <c r="BD277" s="1708"/>
      <c r="BE277" s="1708"/>
      <c r="BF277" s="1708"/>
      <c r="BG277" s="1708"/>
      <c r="BH277" s="1708"/>
      <c r="BI277" s="1708"/>
      <c r="BJ277" s="1708"/>
      <c r="BK277" s="1708"/>
      <c r="BL277" s="1708"/>
      <c r="BM277" s="1708"/>
      <c r="BN277" s="1708"/>
      <c r="BO277" s="1708"/>
      <c r="BP277" s="1708"/>
      <c r="BQ277" s="1708"/>
      <c r="BR277" s="1708"/>
      <c r="BS277" s="1708"/>
      <c r="BT277" s="1708"/>
      <c r="BU277" s="1708"/>
      <c r="BV277" s="1708"/>
      <c r="BW277" s="1708"/>
      <c r="BX277" s="1708"/>
      <c r="BY277" s="1708"/>
      <c r="BZ277" s="1708"/>
      <c r="CA277" s="1708"/>
      <c r="CB277" s="1708"/>
      <c r="CC277" s="1708"/>
      <c r="CD277" s="1708"/>
      <c r="CE277" s="1708"/>
      <c r="CF277" s="1708"/>
      <c r="CG277" s="1708"/>
      <c r="CH277" s="1708"/>
      <c r="CI277" s="1708"/>
      <c r="CJ277" s="1708"/>
      <c r="CK277" s="1708"/>
      <c r="CL277" s="1708"/>
      <c r="CM277" s="1708"/>
      <c r="CN277" s="1708"/>
      <c r="CO277" s="1708"/>
      <c r="CP277" s="1708"/>
      <c r="CQ277" s="1708"/>
      <c r="CR277" s="1708"/>
      <c r="CS277" s="1708"/>
      <c r="CT277" s="1708"/>
      <c r="CU277" s="1708"/>
      <c r="CV277" s="1708"/>
      <c r="CW277" s="1708"/>
      <c r="CX277" s="1708"/>
      <c r="CY277" s="1708"/>
      <c r="CZ277" s="1708"/>
      <c r="DA277" s="1708"/>
      <c r="DB277" s="1708"/>
      <c r="DC277" s="1708"/>
      <c r="DD277" s="1708"/>
      <c r="DE277" s="1708"/>
      <c r="DF277" s="1708"/>
      <c r="DG277" s="1708"/>
      <c r="DH277" s="1708"/>
      <c r="DI277" s="1708"/>
      <c r="DJ277" s="1708"/>
      <c r="DK277" s="1708"/>
      <c r="DL277" s="1708"/>
      <c r="DM277" s="1708"/>
      <c r="DN277" s="1708"/>
      <c r="DO277" s="1708"/>
      <c r="DP277" s="1708"/>
      <c r="DQ277" s="1708"/>
      <c r="DR277" s="1708"/>
      <c r="DS277" s="1708"/>
      <c r="DT277" s="1708"/>
      <c r="DU277" s="1708"/>
      <c r="DV277" s="1708"/>
      <c r="DW277" s="1708"/>
      <c r="DX277" s="1708"/>
      <c r="DY277" s="1708"/>
      <c r="DZ277" s="1708"/>
      <c r="EA277" s="1708"/>
      <c r="EB277" s="1708"/>
      <c r="EC277" s="1708"/>
      <c r="ED277" s="1708"/>
      <c r="EE277" s="1708"/>
      <c r="EF277" s="1708"/>
      <c r="EG277" s="1708"/>
      <c r="EH277" s="1708"/>
      <c r="EI277" s="1708"/>
      <c r="EJ277" s="1708"/>
      <c r="EK277" s="1708"/>
      <c r="EL277" s="1708"/>
      <c r="EM277" s="1708"/>
      <c r="EN277" s="1708"/>
      <c r="EO277" s="1708"/>
      <c r="EP277" s="1708"/>
      <c r="EQ277" s="1708"/>
      <c r="ER277" s="1708"/>
      <c r="ES277" s="1708"/>
      <c r="ET277" s="1708"/>
      <c r="EU277" s="1708"/>
      <c r="EV277" s="1708"/>
      <c r="EW277" s="1708"/>
      <c r="EX277" s="1708"/>
      <c r="EY277" s="1708"/>
      <c r="EZ277" s="1708"/>
      <c r="FA277" s="1708"/>
      <c r="FB277" s="1708"/>
      <c r="FC277" s="1708"/>
      <c r="FD277" s="1708"/>
      <c r="FE277" s="1708"/>
      <c r="FF277" s="1708"/>
      <c r="FG277" s="1708"/>
      <c r="FH277" s="1708"/>
      <c r="FI277" s="1708"/>
      <c r="FJ277" s="1708"/>
      <c r="FK277" s="1708"/>
      <c r="FL277" s="1708"/>
      <c r="FM277" s="1708"/>
      <c r="FN277" s="1708"/>
      <c r="FO277" s="1708"/>
      <c r="FP277" s="1708"/>
      <c r="FQ277" s="1708"/>
      <c r="FR277" s="1708"/>
      <c r="FS277" s="1708"/>
      <c r="FT277" s="1708"/>
      <c r="FU277" s="1708"/>
      <c r="FV277" s="1708"/>
      <c r="FW277" s="1708"/>
      <c r="FX277" s="1708"/>
      <c r="FY277" s="1708"/>
      <c r="FZ277" s="1708"/>
      <c r="GA277" s="1708"/>
      <c r="GB277" s="1708"/>
      <c r="GC277" s="1708"/>
      <c r="GD277" s="1708"/>
      <c r="GE277" s="1708"/>
      <c r="GF277" s="1708"/>
      <c r="GG277" s="1708"/>
      <c r="GH277" s="1708"/>
      <c r="GI277" s="1708"/>
      <c r="GJ277" s="1708"/>
      <c r="GK277" s="1708"/>
      <c r="GL277" s="1708"/>
      <c r="GM277" s="1708"/>
      <c r="GN277" s="1708"/>
      <c r="GO277" s="1708"/>
      <c r="GP277" s="1708"/>
      <c r="GQ277" s="1708"/>
      <c r="GR277" s="1708"/>
      <c r="GS277" s="1708"/>
      <c r="GT277" s="1708"/>
      <c r="GU277" s="1708"/>
      <c r="GV277" s="1708"/>
      <c r="GW277" s="1708"/>
      <c r="GX277" s="1708"/>
      <c r="GY277" s="1708"/>
      <c r="GZ277" s="1708"/>
      <c r="HA277" s="1708"/>
      <c r="HB277" s="1708"/>
      <c r="HC277" s="1708"/>
      <c r="HD277" s="1708"/>
      <c r="HE277" s="1708"/>
      <c r="HF277" s="1708"/>
      <c r="HG277" s="1708"/>
      <c r="HH277" s="1708"/>
      <c r="HI277" s="1708"/>
      <c r="HJ277" s="1708"/>
      <c r="HK277" s="1708"/>
      <c r="HL277" s="1708"/>
      <c r="HM277" s="1708"/>
      <c r="HN277" s="1708"/>
      <c r="HO277" s="1708"/>
      <c r="HP277" s="1708"/>
      <c r="HQ277" s="1708"/>
      <c r="HR277" s="1708"/>
      <c r="HS277" s="1708"/>
      <c r="HT277" s="1708"/>
      <c r="HU277" s="1708"/>
      <c r="HV277" s="1708"/>
      <c r="HW277" s="1708"/>
      <c r="HX277" s="1708"/>
      <c r="HY277" s="1708"/>
      <c r="HZ277" s="1708"/>
      <c r="IA277" s="1708"/>
      <c r="IB277" s="1708"/>
      <c r="IC277" s="1708"/>
      <c r="ID277" s="1708"/>
      <c r="IE277" s="1708"/>
      <c r="IF277" s="1708"/>
      <c r="IG277" s="1708"/>
      <c r="IH277" s="1708"/>
      <c r="II277" s="1708"/>
      <c r="IJ277" s="1708"/>
      <c r="IK277" s="1708"/>
      <c r="IL277" s="1708"/>
      <c r="IM277" s="1708"/>
      <c r="IN277" s="1708"/>
      <c r="IO277" s="1708"/>
      <c r="IP277" s="1708"/>
      <c r="IQ277" s="1708"/>
      <c r="IR277" s="1708"/>
      <c r="IS277" s="1708"/>
      <c r="IT277" s="1708"/>
      <c r="IU277" s="1708"/>
      <c r="IV277" s="1708"/>
    </row>
    <row r="278" spans="2:256" s="57" customFormat="1" x14ac:dyDescent="0.25">
      <c r="B278" s="1836"/>
      <c r="G278" s="1849"/>
      <c r="J278" s="1850"/>
      <c r="K278" s="1850"/>
      <c r="S278" s="1708"/>
      <c r="T278" s="1708"/>
      <c r="U278" s="1708"/>
      <c r="V278" s="1708"/>
      <c r="W278" s="1708"/>
      <c r="X278" s="1708"/>
      <c r="Y278" s="1708"/>
      <c r="Z278" s="1708"/>
      <c r="AA278" s="1708"/>
      <c r="AB278" s="1708"/>
      <c r="AC278" s="1708"/>
      <c r="AD278" s="1708"/>
      <c r="AE278" s="1708"/>
      <c r="AF278" s="1708"/>
      <c r="AG278" s="1708"/>
      <c r="AH278" s="1708"/>
      <c r="AI278" s="1708"/>
      <c r="AJ278" s="1708"/>
      <c r="AK278" s="1708"/>
      <c r="AL278" s="1708"/>
      <c r="AM278" s="1708"/>
      <c r="AN278" s="1708"/>
      <c r="AO278" s="1708"/>
      <c r="AP278" s="1708"/>
      <c r="AQ278" s="1708"/>
      <c r="AR278" s="1708"/>
      <c r="AS278" s="1708"/>
      <c r="AT278" s="1708"/>
      <c r="AU278" s="1708"/>
      <c r="AV278" s="1708"/>
      <c r="AW278" s="1708"/>
      <c r="AX278" s="1708"/>
      <c r="AY278" s="1708"/>
      <c r="AZ278" s="1708"/>
      <c r="BA278" s="1708"/>
      <c r="BB278" s="1708"/>
      <c r="BC278" s="1708"/>
      <c r="BD278" s="1708"/>
      <c r="BE278" s="1708"/>
      <c r="BF278" s="1708"/>
      <c r="BG278" s="1708"/>
      <c r="BH278" s="1708"/>
      <c r="BI278" s="1708"/>
      <c r="BJ278" s="1708"/>
      <c r="BK278" s="1708"/>
      <c r="BL278" s="1708"/>
      <c r="BM278" s="1708"/>
      <c r="BN278" s="1708"/>
      <c r="BO278" s="1708"/>
      <c r="BP278" s="1708"/>
      <c r="BQ278" s="1708"/>
      <c r="BR278" s="1708"/>
      <c r="BS278" s="1708"/>
      <c r="BT278" s="1708"/>
      <c r="BU278" s="1708"/>
      <c r="BV278" s="1708"/>
      <c r="BW278" s="1708"/>
      <c r="BX278" s="1708"/>
      <c r="BY278" s="1708"/>
      <c r="BZ278" s="1708"/>
      <c r="CA278" s="1708"/>
      <c r="CB278" s="1708"/>
      <c r="CC278" s="1708"/>
      <c r="CD278" s="1708"/>
      <c r="CE278" s="1708"/>
      <c r="CF278" s="1708"/>
      <c r="CG278" s="1708"/>
      <c r="CH278" s="1708"/>
      <c r="CI278" s="1708"/>
      <c r="CJ278" s="1708"/>
      <c r="CK278" s="1708"/>
      <c r="CL278" s="1708"/>
      <c r="CM278" s="1708"/>
      <c r="CN278" s="1708"/>
      <c r="CO278" s="1708"/>
      <c r="CP278" s="1708"/>
      <c r="CQ278" s="1708"/>
      <c r="CR278" s="1708"/>
      <c r="CS278" s="1708"/>
      <c r="CT278" s="1708"/>
      <c r="CU278" s="1708"/>
      <c r="CV278" s="1708"/>
      <c r="CW278" s="1708"/>
      <c r="CX278" s="1708"/>
      <c r="CY278" s="1708"/>
      <c r="CZ278" s="1708"/>
      <c r="DA278" s="1708"/>
      <c r="DB278" s="1708"/>
      <c r="DC278" s="1708"/>
      <c r="DD278" s="1708"/>
      <c r="DE278" s="1708"/>
      <c r="DF278" s="1708"/>
      <c r="DG278" s="1708"/>
      <c r="DH278" s="1708"/>
      <c r="DI278" s="1708"/>
      <c r="DJ278" s="1708"/>
      <c r="DK278" s="1708"/>
      <c r="DL278" s="1708"/>
      <c r="DM278" s="1708"/>
      <c r="DN278" s="1708"/>
      <c r="DO278" s="1708"/>
      <c r="DP278" s="1708"/>
      <c r="DQ278" s="1708"/>
      <c r="DR278" s="1708"/>
      <c r="DS278" s="1708"/>
      <c r="DT278" s="1708"/>
      <c r="DU278" s="1708"/>
      <c r="DV278" s="1708"/>
      <c r="DW278" s="1708"/>
      <c r="DX278" s="1708"/>
      <c r="DY278" s="1708"/>
      <c r="DZ278" s="1708"/>
      <c r="EA278" s="1708"/>
      <c r="EB278" s="1708"/>
      <c r="EC278" s="1708"/>
      <c r="ED278" s="1708"/>
      <c r="EE278" s="1708"/>
      <c r="EF278" s="1708"/>
      <c r="EG278" s="1708"/>
      <c r="EH278" s="1708"/>
      <c r="EI278" s="1708"/>
      <c r="EJ278" s="1708"/>
      <c r="EK278" s="1708"/>
      <c r="EL278" s="1708"/>
      <c r="EM278" s="1708"/>
      <c r="EN278" s="1708"/>
      <c r="EO278" s="1708"/>
      <c r="EP278" s="1708"/>
      <c r="EQ278" s="1708"/>
      <c r="ER278" s="1708"/>
      <c r="ES278" s="1708"/>
      <c r="ET278" s="1708"/>
      <c r="EU278" s="1708"/>
      <c r="EV278" s="1708"/>
      <c r="EW278" s="1708"/>
      <c r="EX278" s="1708"/>
      <c r="EY278" s="1708"/>
      <c r="EZ278" s="1708"/>
      <c r="FA278" s="1708"/>
      <c r="FB278" s="1708"/>
      <c r="FC278" s="1708"/>
      <c r="FD278" s="1708"/>
      <c r="FE278" s="1708"/>
      <c r="FF278" s="1708"/>
      <c r="FG278" s="1708"/>
      <c r="FH278" s="1708"/>
      <c r="FI278" s="1708"/>
      <c r="FJ278" s="1708"/>
      <c r="FK278" s="1708"/>
      <c r="FL278" s="1708"/>
      <c r="FM278" s="1708"/>
      <c r="FN278" s="1708"/>
      <c r="FO278" s="1708"/>
      <c r="FP278" s="1708"/>
      <c r="FQ278" s="1708"/>
      <c r="FR278" s="1708"/>
      <c r="FS278" s="1708"/>
      <c r="FT278" s="1708"/>
      <c r="FU278" s="1708"/>
      <c r="FV278" s="1708"/>
      <c r="FW278" s="1708"/>
      <c r="FX278" s="1708"/>
      <c r="FY278" s="1708"/>
      <c r="FZ278" s="1708"/>
      <c r="GA278" s="1708"/>
      <c r="GB278" s="1708"/>
      <c r="GC278" s="1708"/>
      <c r="GD278" s="1708"/>
      <c r="GE278" s="1708"/>
      <c r="GF278" s="1708"/>
      <c r="GG278" s="1708"/>
      <c r="GH278" s="1708"/>
      <c r="GI278" s="1708"/>
      <c r="GJ278" s="1708"/>
      <c r="GK278" s="1708"/>
      <c r="GL278" s="1708"/>
      <c r="GM278" s="1708"/>
      <c r="GN278" s="1708"/>
      <c r="GO278" s="1708"/>
      <c r="GP278" s="1708"/>
      <c r="GQ278" s="1708"/>
      <c r="GR278" s="1708"/>
      <c r="GS278" s="1708"/>
      <c r="GT278" s="1708"/>
      <c r="GU278" s="1708"/>
      <c r="GV278" s="1708"/>
      <c r="GW278" s="1708"/>
      <c r="GX278" s="1708"/>
      <c r="GY278" s="1708"/>
      <c r="GZ278" s="1708"/>
      <c r="HA278" s="1708"/>
      <c r="HB278" s="1708"/>
      <c r="HC278" s="1708"/>
      <c r="HD278" s="1708"/>
      <c r="HE278" s="1708"/>
      <c r="HF278" s="1708"/>
      <c r="HG278" s="1708"/>
      <c r="HH278" s="1708"/>
      <c r="HI278" s="1708"/>
      <c r="HJ278" s="1708"/>
      <c r="HK278" s="1708"/>
      <c r="HL278" s="1708"/>
      <c r="HM278" s="1708"/>
      <c r="HN278" s="1708"/>
      <c r="HO278" s="1708"/>
      <c r="HP278" s="1708"/>
      <c r="HQ278" s="1708"/>
      <c r="HR278" s="1708"/>
      <c r="HS278" s="1708"/>
      <c r="HT278" s="1708"/>
      <c r="HU278" s="1708"/>
      <c r="HV278" s="1708"/>
      <c r="HW278" s="1708"/>
      <c r="HX278" s="1708"/>
      <c r="HY278" s="1708"/>
      <c r="HZ278" s="1708"/>
      <c r="IA278" s="1708"/>
      <c r="IB278" s="1708"/>
      <c r="IC278" s="1708"/>
      <c r="ID278" s="1708"/>
      <c r="IE278" s="1708"/>
      <c r="IF278" s="1708"/>
      <c r="IG278" s="1708"/>
      <c r="IH278" s="1708"/>
      <c r="II278" s="1708"/>
      <c r="IJ278" s="1708"/>
      <c r="IK278" s="1708"/>
      <c r="IL278" s="1708"/>
      <c r="IM278" s="1708"/>
      <c r="IN278" s="1708"/>
      <c r="IO278" s="1708"/>
      <c r="IP278" s="1708"/>
      <c r="IQ278" s="1708"/>
      <c r="IR278" s="1708"/>
      <c r="IS278" s="1708"/>
      <c r="IT278" s="1708"/>
      <c r="IU278" s="1708"/>
      <c r="IV278" s="1708"/>
    </row>
    <row r="279" spans="2:256" s="57" customFormat="1" x14ac:dyDescent="0.25">
      <c r="B279" s="1836"/>
      <c r="G279" s="1849"/>
      <c r="J279" s="1850"/>
      <c r="K279" s="1850"/>
      <c r="S279" s="1708"/>
      <c r="T279" s="1708"/>
      <c r="U279" s="1708"/>
      <c r="V279" s="1708"/>
      <c r="W279" s="1708"/>
      <c r="X279" s="1708"/>
      <c r="Y279" s="1708"/>
      <c r="Z279" s="1708"/>
      <c r="AA279" s="1708"/>
      <c r="AB279" s="1708"/>
      <c r="AC279" s="1708"/>
      <c r="AD279" s="1708"/>
      <c r="AE279" s="1708"/>
      <c r="AF279" s="1708"/>
      <c r="AG279" s="1708"/>
      <c r="AH279" s="1708"/>
      <c r="AI279" s="1708"/>
      <c r="AJ279" s="1708"/>
      <c r="AK279" s="1708"/>
      <c r="AL279" s="1708"/>
      <c r="AM279" s="1708"/>
      <c r="AN279" s="1708"/>
      <c r="AO279" s="1708"/>
      <c r="AP279" s="1708"/>
      <c r="AQ279" s="1708"/>
      <c r="AR279" s="1708"/>
      <c r="AS279" s="1708"/>
      <c r="AT279" s="1708"/>
      <c r="AU279" s="1708"/>
      <c r="AV279" s="1708"/>
      <c r="AW279" s="1708"/>
      <c r="AX279" s="1708"/>
      <c r="AY279" s="1708"/>
      <c r="AZ279" s="1708"/>
      <c r="BA279" s="1708"/>
      <c r="BB279" s="1708"/>
      <c r="BC279" s="1708"/>
      <c r="BD279" s="1708"/>
      <c r="BE279" s="1708"/>
      <c r="BF279" s="1708"/>
      <c r="BG279" s="1708"/>
      <c r="BH279" s="1708"/>
      <c r="BI279" s="1708"/>
      <c r="BJ279" s="1708"/>
      <c r="BK279" s="1708"/>
      <c r="BL279" s="1708"/>
      <c r="BM279" s="1708"/>
      <c r="BN279" s="1708"/>
      <c r="BO279" s="1708"/>
      <c r="BP279" s="1708"/>
      <c r="BQ279" s="1708"/>
      <c r="BR279" s="1708"/>
      <c r="BS279" s="1708"/>
      <c r="BT279" s="1708"/>
      <c r="BU279" s="1708"/>
      <c r="BV279" s="1708"/>
      <c r="BW279" s="1708"/>
      <c r="BX279" s="1708"/>
      <c r="BY279" s="1708"/>
      <c r="BZ279" s="1708"/>
      <c r="CA279" s="1708"/>
      <c r="CB279" s="1708"/>
      <c r="CC279" s="1708"/>
      <c r="CD279" s="1708"/>
      <c r="CE279" s="1708"/>
      <c r="CF279" s="1708"/>
      <c r="CG279" s="1708"/>
      <c r="CH279" s="1708"/>
      <c r="CI279" s="1708"/>
      <c r="CJ279" s="1708"/>
      <c r="CK279" s="1708"/>
      <c r="CL279" s="1708"/>
      <c r="CM279" s="1708"/>
      <c r="CN279" s="1708"/>
      <c r="CO279" s="1708"/>
      <c r="CP279" s="1708"/>
      <c r="CQ279" s="1708"/>
      <c r="CR279" s="1708"/>
      <c r="CS279" s="1708"/>
      <c r="CT279" s="1708"/>
      <c r="CU279" s="1708"/>
      <c r="CV279" s="1708"/>
      <c r="CW279" s="1708"/>
      <c r="CX279" s="1708"/>
      <c r="CY279" s="1708"/>
      <c r="CZ279" s="1708"/>
      <c r="DA279" s="1708"/>
      <c r="DB279" s="1708"/>
      <c r="DC279" s="1708"/>
      <c r="DD279" s="1708"/>
      <c r="DE279" s="1708"/>
      <c r="DF279" s="1708"/>
      <c r="DG279" s="1708"/>
      <c r="DH279" s="1708"/>
      <c r="DI279" s="1708"/>
      <c r="DJ279" s="1708"/>
      <c r="DK279" s="1708"/>
      <c r="DL279" s="1708"/>
      <c r="DM279" s="1708"/>
      <c r="DN279" s="1708"/>
      <c r="DO279" s="1708"/>
      <c r="DP279" s="1708"/>
      <c r="DQ279" s="1708"/>
      <c r="DR279" s="1708"/>
      <c r="DS279" s="1708"/>
      <c r="DT279" s="1708"/>
      <c r="DU279" s="1708"/>
      <c r="DV279" s="1708"/>
      <c r="DW279" s="1708"/>
      <c r="DX279" s="1708"/>
      <c r="DY279" s="1708"/>
      <c r="DZ279" s="1708"/>
      <c r="EA279" s="1708"/>
      <c r="EB279" s="1708"/>
      <c r="EC279" s="1708"/>
      <c r="ED279" s="1708"/>
      <c r="EE279" s="1708"/>
      <c r="EF279" s="1708"/>
      <c r="EG279" s="1708"/>
      <c r="EH279" s="1708"/>
      <c r="EI279" s="1708"/>
      <c r="EJ279" s="1708"/>
      <c r="EK279" s="1708"/>
      <c r="EL279" s="1708"/>
      <c r="EM279" s="1708"/>
      <c r="EN279" s="1708"/>
      <c r="EO279" s="1708"/>
      <c r="EP279" s="1708"/>
      <c r="EQ279" s="1708"/>
      <c r="ER279" s="1708"/>
      <c r="ES279" s="1708"/>
      <c r="ET279" s="1708"/>
      <c r="EU279" s="1708"/>
      <c r="EV279" s="1708"/>
      <c r="EW279" s="1708"/>
      <c r="EX279" s="1708"/>
      <c r="EY279" s="1708"/>
      <c r="EZ279" s="1708"/>
      <c r="FA279" s="1708"/>
      <c r="FB279" s="1708"/>
      <c r="FC279" s="1708"/>
      <c r="FD279" s="1708"/>
      <c r="FE279" s="1708"/>
      <c r="FF279" s="1708"/>
      <c r="FG279" s="1708"/>
      <c r="FH279" s="1708"/>
      <c r="FI279" s="1708"/>
      <c r="FJ279" s="1708"/>
      <c r="FK279" s="1708"/>
      <c r="FL279" s="1708"/>
      <c r="FM279" s="1708"/>
      <c r="FN279" s="1708"/>
      <c r="FO279" s="1708"/>
      <c r="FP279" s="1708"/>
      <c r="FQ279" s="1708"/>
      <c r="FR279" s="1708"/>
      <c r="FS279" s="1708"/>
      <c r="FT279" s="1708"/>
      <c r="FU279" s="1708"/>
      <c r="FV279" s="1708"/>
      <c r="FW279" s="1708"/>
      <c r="FX279" s="1708"/>
      <c r="FY279" s="1708"/>
      <c r="FZ279" s="1708"/>
      <c r="GA279" s="1708"/>
      <c r="GB279" s="1708"/>
      <c r="GC279" s="1708"/>
      <c r="GD279" s="1708"/>
      <c r="GE279" s="1708"/>
      <c r="GF279" s="1708"/>
      <c r="GG279" s="1708"/>
      <c r="GH279" s="1708"/>
      <c r="GI279" s="1708"/>
      <c r="GJ279" s="1708"/>
      <c r="GK279" s="1708"/>
      <c r="GL279" s="1708"/>
      <c r="GM279" s="1708"/>
      <c r="GN279" s="1708"/>
      <c r="GO279" s="1708"/>
      <c r="GP279" s="1708"/>
      <c r="GQ279" s="1708"/>
      <c r="GR279" s="1708"/>
      <c r="GS279" s="1708"/>
      <c r="GT279" s="1708"/>
      <c r="GU279" s="1708"/>
      <c r="GV279" s="1708"/>
      <c r="GW279" s="1708"/>
      <c r="GX279" s="1708"/>
      <c r="GY279" s="1708"/>
      <c r="GZ279" s="1708"/>
      <c r="HA279" s="1708"/>
      <c r="HB279" s="1708"/>
      <c r="HC279" s="1708"/>
      <c r="HD279" s="1708"/>
      <c r="HE279" s="1708"/>
      <c r="HF279" s="1708"/>
      <c r="HG279" s="1708"/>
      <c r="HH279" s="1708"/>
      <c r="HI279" s="1708"/>
      <c r="HJ279" s="1708"/>
      <c r="HK279" s="1708"/>
      <c r="HL279" s="1708"/>
      <c r="HM279" s="1708"/>
      <c r="HN279" s="1708"/>
      <c r="HO279" s="1708"/>
      <c r="HP279" s="1708"/>
      <c r="HQ279" s="1708"/>
      <c r="HR279" s="1708"/>
      <c r="HS279" s="1708"/>
      <c r="HT279" s="1708"/>
      <c r="HU279" s="1708"/>
      <c r="HV279" s="1708"/>
      <c r="HW279" s="1708"/>
      <c r="HX279" s="1708"/>
      <c r="HY279" s="1708"/>
      <c r="HZ279" s="1708"/>
      <c r="IA279" s="1708"/>
      <c r="IB279" s="1708"/>
      <c r="IC279" s="1708"/>
      <c r="ID279" s="1708"/>
      <c r="IE279" s="1708"/>
      <c r="IF279" s="1708"/>
      <c r="IG279" s="1708"/>
      <c r="IH279" s="1708"/>
      <c r="II279" s="1708"/>
      <c r="IJ279" s="1708"/>
      <c r="IK279" s="1708"/>
      <c r="IL279" s="1708"/>
      <c r="IM279" s="1708"/>
      <c r="IN279" s="1708"/>
      <c r="IO279" s="1708"/>
      <c r="IP279" s="1708"/>
      <c r="IQ279" s="1708"/>
      <c r="IR279" s="1708"/>
      <c r="IS279" s="1708"/>
      <c r="IT279" s="1708"/>
      <c r="IU279" s="1708"/>
      <c r="IV279" s="1708"/>
    </row>
    <row r="280" spans="2:256" s="57" customFormat="1" x14ac:dyDescent="0.25">
      <c r="B280" s="1836"/>
      <c r="G280" s="1849"/>
      <c r="J280" s="1850"/>
      <c r="K280" s="1850"/>
      <c r="S280" s="1708"/>
      <c r="T280" s="1708"/>
      <c r="U280" s="1708"/>
      <c r="V280" s="1708"/>
      <c r="W280" s="1708"/>
      <c r="X280" s="1708"/>
      <c r="Y280" s="1708"/>
      <c r="Z280" s="1708"/>
      <c r="AA280" s="1708"/>
      <c r="AB280" s="1708"/>
      <c r="AC280" s="1708"/>
      <c r="AD280" s="1708"/>
      <c r="AE280" s="1708"/>
      <c r="AF280" s="1708"/>
      <c r="AG280" s="1708"/>
      <c r="AH280" s="1708"/>
      <c r="AI280" s="1708"/>
      <c r="AJ280" s="1708"/>
      <c r="AK280" s="1708"/>
      <c r="AL280" s="1708"/>
      <c r="AM280" s="1708"/>
      <c r="AN280" s="1708"/>
      <c r="AO280" s="1708"/>
      <c r="AP280" s="1708"/>
      <c r="AQ280" s="1708"/>
      <c r="AR280" s="1708"/>
      <c r="AS280" s="1708"/>
      <c r="AT280" s="1708"/>
      <c r="AU280" s="1708"/>
      <c r="AV280" s="1708"/>
      <c r="AW280" s="1708"/>
      <c r="AX280" s="1708"/>
      <c r="AY280" s="1708"/>
      <c r="AZ280" s="1708"/>
      <c r="BA280" s="1708"/>
      <c r="BB280" s="1708"/>
      <c r="BC280" s="1708"/>
      <c r="BD280" s="1708"/>
      <c r="BE280" s="1708"/>
      <c r="BF280" s="1708"/>
      <c r="BG280" s="1708"/>
      <c r="BH280" s="1708"/>
      <c r="BI280" s="1708"/>
      <c r="BJ280" s="1708"/>
      <c r="BK280" s="1708"/>
      <c r="BL280" s="1708"/>
      <c r="BM280" s="1708"/>
      <c r="BN280" s="1708"/>
      <c r="BO280" s="1708"/>
      <c r="BP280" s="1708"/>
      <c r="BQ280" s="1708"/>
      <c r="BR280" s="1708"/>
      <c r="BS280" s="1708"/>
      <c r="BT280" s="1708"/>
      <c r="BU280" s="1708"/>
      <c r="BV280" s="1708"/>
      <c r="BW280" s="1708"/>
      <c r="BX280" s="1708"/>
      <c r="BY280" s="1708"/>
      <c r="BZ280" s="1708"/>
      <c r="CA280" s="1708"/>
      <c r="CB280" s="1708"/>
      <c r="CC280" s="1708"/>
      <c r="CD280" s="1708"/>
      <c r="CE280" s="1708"/>
      <c r="CF280" s="1708"/>
      <c r="CG280" s="1708"/>
      <c r="CH280" s="1708"/>
      <c r="CI280" s="1708"/>
      <c r="CJ280" s="1708"/>
      <c r="CK280" s="1708"/>
      <c r="CL280" s="1708"/>
      <c r="CM280" s="1708"/>
      <c r="CN280" s="1708"/>
      <c r="CO280" s="1708"/>
      <c r="CP280" s="1708"/>
      <c r="CQ280" s="1708"/>
      <c r="CR280" s="1708"/>
      <c r="CS280" s="1708"/>
      <c r="CT280" s="1708"/>
      <c r="CU280" s="1708"/>
      <c r="CV280" s="1708"/>
      <c r="CW280" s="1708"/>
      <c r="CX280" s="1708"/>
      <c r="CY280" s="1708"/>
      <c r="CZ280" s="1708"/>
      <c r="DA280" s="1708"/>
      <c r="DB280" s="1708"/>
      <c r="DC280" s="1708"/>
      <c r="DD280" s="1708"/>
      <c r="DE280" s="1708"/>
      <c r="DF280" s="1708"/>
      <c r="DG280" s="1708"/>
      <c r="DH280" s="1708"/>
      <c r="DI280" s="1708"/>
      <c r="DJ280" s="1708"/>
      <c r="DK280" s="1708"/>
      <c r="DL280" s="1708"/>
      <c r="DM280" s="1708"/>
      <c r="DN280" s="1708"/>
      <c r="DO280" s="1708"/>
      <c r="DP280" s="1708"/>
      <c r="DQ280" s="1708"/>
      <c r="DR280" s="1708"/>
      <c r="DS280" s="1708"/>
      <c r="DT280" s="1708"/>
      <c r="DU280" s="1708"/>
      <c r="DV280" s="1708"/>
      <c r="DW280" s="1708"/>
      <c r="DX280" s="1708"/>
      <c r="DY280" s="1708"/>
      <c r="DZ280" s="1708"/>
      <c r="EA280" s="1708"/>
      <c r="EB280" s="1708"/>
      <c r="EC280" s="1708"/>
      <c r="ED280" s="1708"/>
      <c r="EE280" s="1708"/>
      <c r="EF280" s="1708"/>
      <c r="EG280" s="1708"/>
      <c r="EH280" s="1708"/>
      <c r="EI280" s="1708"/>
      <c r="EJ280" s="1708"/>
      <c r="EK280" s="1708"/>
      <c r="EL280" s="1708"/>
      <c r="EM280" s="1708"/>
      <c r="EN280" s="1708"/>
      <c r="EO280" s="1708"/>
      <c r="EP280" s="1708"/>
      <c r="EQ280" s="1708"/>
      <c r="ER280" s="1708"/>
      <c r="ES280" s="1708"/>
      <c r="ET280" s="1708"/>
      <c r="EU280" s="1708"/>
      <c r="EV280" s="1708"/>
      <c r="EW280" s="1708"/>
      <c r="EX280" s="1708"/>
      <c r="EY280" s="1708"/>
      <c r="EZ280" s="1708"/>
      <c r="FA280" s="1708"/>
      <c r="FB280" s="1708"/>
      <c r="FC280" s="1708"/>
      <c r="FD280" s="1708"/>
      <c r="FE280" s="1708"/>
      <c r="FF280" s="1708"/>
      <c r="FG280" s="1708"/>
      <c r="FH280" s="1708"/>
      <c r="FI280" s="1708"/>
      <c r="FJ280" s="1708"/>
      <c r="FK280" s="1708"/>
      <c r="FL280" s="1708"/>
      <c r="FM280" s="1708"/>
      <c r="FN280" s="1708"/>
      <c r="FO280" s="1708"/>
      <c r="FP280" s="1708"/>
      <c r="FQ280" s="1708"/>
      <c r="FR280" s="1708"/>
      <c r="FS280" s="1708"/>
      <c r="FT280" s="1708"/>
      <c r="FU280" s="1708"/>
      <c r="FV280" s="1708"/>
      <c r="FW280" s="1708"/>
      <c r="FX280" s="1708"/>
      <c r="FY280" s="1708"/>
      <c r="FZ280" s="1708"/>
      <c r="GA280" s="1708"/>
      <c r="GB280" s="1708"/>
      <c r="GC280" s="1708"/>
      <c r="GD280" s="1708"/>
      <c r="GE280" s="1708"/>
      <c r="GF280" s="1708"/>
      <c r="GG280" s="1708"/>
      <c r="GH280" s="1708"/>
      <c r="GI280" s="1708"/>
      <c r="GJ280" s="1708"/>
      <c r="GK280" s="1708"/>
      <c r="GL280" s="1708"/>
      <c r="GM280" s="1708"/>
      <c r="GN280" s="1708"/>
      <c r="GO280" s="1708"/>
      <c r="GP280" s="1708"/>
      <c r="GQ280" s="1708"/>
      <c r="GR280" s="1708"/>
      <c r="GS280" s="1708"/>
      <c r="GT280" s="1708"/>
      <c r="GU280" s="1708"/>
      <c r="GV280" s="1708"/>
      <c r="GW280" s="1708"/>
      <c r="GX280" s="1708"/>
      <c r="GY280" s="1708"/>
      <c r="GZ280" s="1708"/>
      <c r="HA280" s="1708"/>
      <c r="HB280" s="1708"/>
      <c r="HC280" s="1708"/>
      <c r="HD280" s="1708"/>
      <c r="HE280" s="1708"/>
      <c r="HF280" s="1708"/>
      <c r="HG280" s="1708"/>
      <c r="HH280" s="1708"/>
      <c r="HI280" s="1708"/>
      <c r="HJ280" s="1708"/>
      <c r="HK280" s="1708"/>
      <c r="HL280" s="1708"/>
      <c r="HM280" s="1708"/>
      <c r="HN280" s="1708"/>
      <c r="HO280" s="1708"/>
      <c r="HP280" s="1708"/>
      <c r="HQ280" s="1708"/>
      <c r="HR280" s="1708"/>
      <c r="HS280" s="1708"/>
      <c r="HT280" s="1708"/>
      <c r="HU280" s="1708"/>
      <c r="HV280" s="1708"/>
      <c r="HW280" s="1708"/>
      <c r="HX280" s="1708"/>
      <c r="HY280" s="1708"/>
      <c r="HZ280" s="1708"/>
      <c r="IA280" s="1708"/>
      <c r="IB280" s="1708"/>
      <c r="IC280" s="1708"/>
      <c r="ID280" s="1708"/>
      <c r="IE280" s="1708"/>
      <c r="IF280" s="1708"/>
      <c r="IG280" s="1708"/>
      <c r="IH280" s="1708"/>
      <c r="II280" s="1708"/>
      <c r="IJ280" s="1708"/>
      <c r="IK280" s="1708"/>
      <c r="IL280" s="1708"/>
      <c r="IM280" s="1708"/>
      <c r="IN280" s="1708"/>
      <c r="IO280" s="1708"/>
      <c r="IP280" s="1708"/>
      <c r="IQ280" s="1708"/>
      <c r="IR280" s="1708"/>
      <c r="IS280" s="1708"/>
      <c r="IT280" s="1708"/>
      <c r="IU280" s="1708"/>
      <c r="IV280" s="1708"/>
    </row>
    <row r="281" spans="2:256" s="57" customFormat="1" x14ac:dyDescent="0.25">
      <c r="B281" s="1836"/>
      <c r="G281" s="1849"/>
      <c r="J281" s="1850"/>
      <c r="K281" s="1850"/>
      <c r="S281" s="1708"/>
      <c r="T281" s="1708"/>
      <c r="U281" s="1708"/>
      <c r="V281" s="1708"/>
      <c r="W281" s="1708"/>
      <c r="X281" s="1708"/>
      <c r="Y281" s="1708"/>
      <c r="Z281" s="1708"/>
      <c r="AA281" s="1708"/>
      <c r="AB281" s="1708"/>
      <c r="AC281" s="1708"/>
      <c r="AD281" s="1708"/>
      <c r="AE281" s="1708"/>
      <c r="AF281" s="1708"/>
      <c r="AG281" s="1708"/>
      <c r="AH281" s="1708"/>
      <c r="AI281" s="1708"/>
      <c r="AJ281" s="1708"/>
      <c r="AK281" s="1708"/>
      <c r="AL281" s="1708"/>
      <c r="AM281" s="1708"/>
      <c r="AN281" s="1708"/>
      <c r="AO281" s="1708"/>
      <c r="AP281" s="1708"/>
      <c r="AQ281" s="1708"/>
      <c r="AR281" s="1708"/>
      <c r="AS281" s="1708"/>
      <c r="AT281" s="1708"/>
      <c r="AU281" s="1708"/>
      <c r="AV281" s="1708"/>
      <c r="AW281" s="1708"/>
      <c r="AX281" s="1708"/>
      <c r="AY281" s="1708"/>
      <c r="AZ281" s="1708"/>
      <c r="BA281" s="1708"/>
      <c r="BB281" s="1708"/>
      <c r="BC281" s="1708"/>
      <c r="BD281" s="1708"/>
      <c r="BE281" s="1708"/>
      <c r="BF281" s="1708"/>
      <c r="BG281" s="1708"/>
      <c r="BH281" s="1708"/>
      <c r="BI281" s="1708"/>
      <c r="BJ281" s="1708"/>
      <c r="BK281" s="1708"/>
      <c r="BL281" s="1708"/>
      <c r="BM281" s="1708"/>
      <c r="BN281" s="1708"/>
      <c r="BO281" s="1708"/>
      <c r="BP281" s="1708"/>
      <c r="BQ281" s="1708"/>
      <c r="BR281" s="1708"/>
      <c r="BS281" s="1708"/>
      <c r="BT281" s="1708"/>
      <c r="BU281" s="1708"/>
      <c r="BV281" s="1708"/>
      <c r="BW281" s="1708"/>
      <c r="BX281" s="1708"/>
      <c r="BY281" s="1708"/>
      <c r="BZ281" s="1708"/>
      <c r="CA281" s="1708"/>
      <c r="CB281" s="1708"/>
      <c r="CC281" s="1708"/>
      <c r="CD281" s="1708"/>
      <c r="CE281" s="1708"/>
      <c r="CF281" s="1708"/>
      <c r="CG281" s="1708"/>
      <c r="CH281" s="1708"/>
      <c r="CI281" s="1708"/>
      <c r="CJ281" s="1708"/>
      <c r="CK281" s="1708"/>
      <c r="CL281" s="1708"/>
      <c r="CM281" s="1708"/>
      <c r="CN281" s="1708"/>
      <c r="CO281" s="1708"/>
      <c r="CP281" s="1708"/>
      <c r="CQ281" s="1708"/>
      <c r="CR281" s="1708"/>
      <c r="CS281" s="1708"/>
      <c r="CT281" s="1708"/>
      <c r="CU281" s="1708"/>
      <c r="CV281" s="1708"/>
      <c r="CW281" s="1708"/>
      <c r="CX281" s="1708"/>
      <c r="CY281" s="1708"/>
      <c r="CZ281" s="1708"/>
      <c r="DA281" s="1708"/>
      <c r="DB281" s="1708"/>
      <c r="DC281" s="1708"/>
      <c r="DD281" s="1708"/>
      <c r="DE281" s="1708"/>
      <c r="DF281" s="1708"/>
      <c r="DG281" s="1708"/>
      <c r="DH281" s="1708"/>
      <c r="DI281" s="1708"/>
      <c r="DJ281" s="1708"/>
      <c r="DK281" s="1708"/>
      <c r="DL281" s="1708"/>
      <c r="DM281" s="1708"/>
      <c r="DN281" s="1708"/>
      <c r="DO281" s="1708"/>
      <c r="DP281" s="1708"/>
      <c r="DQ281" s="1708"/>
      <c r="DR281" s="1708"/>
      <c r="DS281" s="1708"/>
      <c r="DT281" s="1708"/>
      <c r="DU281" s="1708"/>
      <c r="DV281" s="1708"/>
      <c r="DW281" s="1708"/>
      <c r="DX281" s="1708"/>
      <c r="DY281" s="1708"/>
      <c r="DZ281" s="1708"/>
      <c r="EA281" s="1708"/>
      <c r="EB281" s="1708"/>
      <c r="EC281" s="1708"/>
      <c r="ED281" s="1708"/>
      <c r="EE281" s="1708"/>
      <c r="EF281" s="1708"/>
      <c r="EG281" s="1708"/>
      <c r="EH281" s="1708"/>
      <c r="EI281" s="1708"/>
      <c r="EJ281" s="1708"/>
      <c r="EK281" s="1708"/>
      <c r="EL281" s="1708"/>
      <c r="EM281" s="1708"/>
      <c r="EN281" s="1708"/>
      <c r="EO281" s="1708"/>
      <c r="EP281" s="1708"/>
      <c r="EQ281" s="1708"/>
      <c r="ER281" s="1708"/>
      <c r="ES281" s="1708"/>
      <c r="ET281" s="1708"/>
      <c r="EU281" s="1708"/>
      <c r="EV281" s="1708"/>
      <c r="EW281" s="1708"/>
      <c r="EX281" s="1708"/>
      <c r="EY281" s="1708"/>
      <c r="EZ281" s="1708"/>
      <c r="FA281" s="1708"/>
      <c r="FB281" s="1708"/>
      <c r="FC281" s="1708"/>
      <c r="FD281" s="1708"/>
      <c r="FE281" s="1708"/>
      <c r="FF281" s="1708"/>
      <c r="FG281" s="1708"/>
      <c r="FH281" s="1708"/>
      <c r="FI281" s="1708"/>
      <c r="FJ281" s="1708"/>
      <c r="FK281" s="1708"/>
      <c r="FL281" s="1708"/>
      <c r="FM281" s="1708"/>
      <c r="FN281" s="1708"/>
      <c r="FO281" s="1708"/>
      <c r="FP281" s="1708"/>
      <c r="FQ281" s="1708"/>
      <c r="FR281" s="1708"/>
      <c r="FS281" s="1708"/>
      <c r="FT281" s="1708"/>
      <c r="FU281" s="1708"/>
      <c r="FV281" s="1708"/>
      <c r="FW281" s="1708"/>
      <c r="FX281" s="1708"/>
      <c r="FY281" s="1708"/>
      <c r="FZ281" s="1708"/>
      <c r="GA281" s="1708"/>
      <c r="GB281" s="1708"/>
      <c r="GC281" s="1708"/>
      <c r="GD281" s="1708"/>
      <c r="GE281" s="1708"/>
      <c r="GF281" s="1708"/>
      <c r="GG281" s="1708"/>
      <c r="GH281" s="1708"/>
      <c r="GI281" s="1708"/>
      <c r="GJ281" s="1708"/>
      <c r="GK281" s="1708"/>
      <c r="GL281" s="1708"/>
      <c r="GM281" s="1708"/>
      <c r="GN281" s="1708"/>
      <c r="GO281" s="1708"/>
      <c r="GP281" s="1708"/>
      <c r="GQ281" s="1708"/>
      <c r="GR281" s="1708"/>
      <c r="GS281" s="1708"/>
      <c r="GT281" s="1708"/>
      <c r="GU281" s="1708"/>
      <c r="GV281" s="1708"/>
      <c r="GW281" s="1708"/>
      <c r="GX281" s="1708"/>
      <c r="GY281" s="1708"/>
      <c r="GZ281" s="1708"/>
      <c r="HA281" s="1708"/>
      <c r="HB281" s="1708"/>
      <c r="HC281" s="1708"/>
      <c r="HD281" s="1708"/>
      <c r="HE281" s="1708"/>
      <c r="HF281" s="1708"/>
      <c r="HG281" s="1708"/>
      <c r="HH281" s="1708"/>
      <c r="HI281" s="1708"/>
      <c r="HJ281" s="1708"/>
      <c r="HK281" s="1708"/>
      <c r="HL281" s="1708"/>
      <c r="HM281" s="1708"/>
      <c r="HN281" s="1708"/>
      <c r="HO281" s="1708"/>
      <c r="HP281" s="1708"/>
      <c r="HQ281" s="1708"/>
      <c r="HR281" s="1708"/>
      <c r="HS281" s="1708"/>
      <c r="HT281" s="1708"/>
      <c r="HU281" s="1708"/>
      <c r="HV281" s="1708"/>
      <c r="HW281" s="1708"/>
      <c r="HX281" s="1708"/>
      <c r="HY281" s="1708"/>
      <c r="HZ281" s="1708"/>
      <c r="IA281" s="1708"/>
      <c r="IB281" s="1708"/>
      <c r="IC281" s="1708"/>
      <c r="ID281" s="1708"/>
      <c r="IE281" s="1708"/>
      <c r="IF281" s="1708"/>
      <c r="IG281" s="1708"/>
      <c r="IH281" s="1708"/>
      <c r="II281" s="1708"/>
      <c r="IJ281" s="1708"/>
      <c r="IK281" s="1708"/>
      <c r="IL281" s="1708"/>
      <c r="IM281" s="1708"/>
      <c r="IN281" s="1708"/>
      <c r="IO281" s="1708"/>
      <c r="IP281" s="1708"/>
      <c r="IQ281" s="1708"/>
      <c r="IR281" s="1708"/>
      <c r="IS281" s="1708"/>
      <c r="IT281" s="1708"/>
      <c r="IU281" s="1708"/>
      <c r="IV281" s="1708"/>
    </row>
    <row r="282" spans="2:256" s="57" customFormat="1" x14ac:dyDescent="0.25">
      <c r="B282" s="1836"/>
      <c r="G282" s="1849"/>
      <c r="J282" s="1850"/>
      <c r="K282" s="1850"/>
      <c r="S282" s="1708"/>
      <c r="T282" s="1708"/>
      <c r="U282" s="1708"/>
      <c r="V282" s="1708"/>
      <c r="W282" s="1708"/>
      <c r="X282" s="1708"/>
      <c r="Y282" s="1708"/>
      <c r="Z282" s="1708"/>
      <c r="AA282" s="1708"/>
      <c r="AB282" s="1708"/>
      <c r="AC282" s="1708"/>
      <c r="AD282" s="1708"/>
      <c r="AE282" s="1708"/>
      <c r="AF282" s="1708"/>
      <c r="AG282" s="1708"/>
      <c r="AH282" s="1708"/>
      <c r="AI282" s="1708"/>
      <c r="AJ282" s="1708"/>
      <c r="AK282" s="1708"/>
      <c r="AL282" s="1708"/>
      <c r="AM282" s="1708"/>
      <c r="AN282" s="1708"/>
      <c r="AO282" s="1708"/>
      <c r="AP282" s="1708"/>
      <c r="AQ282" s="1708"/>
      <c r="AR282" s="1708"/>
      <c r="AS282" s="1708"/>
      <c r="AT282" s="1708"/>
      <c r="AU282" s="1708"/>
      <c r="AV282" s="1708"/>
      <c r="AW282" s="1708"/>
      <c r="AX282" s="1708"/>
      <c r="AY282" s="1708"/>
      <c r="AZ282" s="1708"/>
      <c r="BA282" s="1708"/>
      <c r="BB282" s="1708"/>
      <c r="BC282" s="1708"/>
      <c r="BD282" s="1708"/>
      <c r="BE282" s="1708"/>
      <c r="BF282" s="1708"/>
      <c r="BG282" s="1708"/>
      <c r="BH282" s="1708"/>
      <c r="BI282" s="1708"/>
      <c r="BJ282" s="1708"/>
      <c r="BK282" s="1708"/>
      <c r="BL282" s="1708"/>
      <c r="BM282" s="1708"/>
      <c r="BN282" s="1708"/>
      <c r="BO282" s="1708"/>
      <c r="BP282" s="1708"/>
      <c r="BQ282" s="1708"/>
      <c r="BR282" s="1708"/>
      <c r="BS282" s="1708"/>
      <c r="BT282" s="1708"/>
      <c r="BU282" s="1708"/>
      <c r="BV282" s="1708"/>
      <c r="BW282" s="1708"/>
      <c r="BX282" s="1708"/>
      <c r="BY282" s="1708"/>
      <c r="BZ282" s="1708"/>
      <c r="CA282" s="1708"/>
      <c r="CB282" s="1708"/>
      <c r="CC282" s="1708"/>
      <c r="CD282" s="1708"/>
      <c r="CE282" s="1708"/>
      <c r="CF282" s="1708"/>
      <c r="CG282" s="1708"/>
      <c r="CH282" s="1708"/>
      <c r="CI282" s="1708"/>
      <c r="CJ282" s="1708"/>
      <c r="CK282" s="1708"/>
      <c r="CL282" s="1708"/>
      <c r="CM282" s="1708"/>
      <c r="CN282" s="1708"/>
      <c r="CO282" s="1708"/>
      <c r="CP282" s="1708"/>
      <c r="CQ282" s="1708"/>
      <c r="CR282" s="1708"/>
      <c r="CS282" s="1708"/>
      <c r="CT282" s="1708"/>
      <c r="CU282" s="1708"/>
      <c r="CV282" s="1708"/>
      <c r="CW282" s="1708"/>
      <c r="CX282" s="1708"/>
      <c r="CY282" s="1708"/>
      <c r="CZ282" s="1708"/>
      <c r="DA282" s="1708"/>
      <c r="DB282" s="1708"/>
      <c r="DC282" s="1708"/>
      <c r="DD282" s="1708"/>
      <c r="DE282" s="1708"/>
      <c r="DF282" s="1708"/>
      <c r="DG282" s="1708"/>
      <c r="DH282" s="1708"/>
      <c r="DI282" s="1708"/>
      <c r="DJ282" s="1708"/>
      <c r="DK282" s="1708"/>
      <c r="DL282" s="1708"/>
      <c r="DM282" s="1708"/>
      <c r="DN282" s="1708"/>
      <c r="DO282" s="1708"/>
      <c r="DP282" s="1708"/>
      <c r="DQ282" s="1708"/>
      <c r="DR282" s="1708"/>
      <c r="DS282" s="1708"/>
      <c r="DT282" s="1708"/>
      <c r="DU282" s="1708"/>
      <c r="DV282" s="1708"/>
      <c r="DW282" s="1708"/>
      <c r="DX282" s="1708"/>
      <c r="DY282" s="1708"/>
      <c r="DZ282" s="1708"/>
      <c r="EA282" s="1708"/>
      <c r="EB282" s="1708"/>
      <c r="EC282" s="1708"/>
      <c r="ED282" s="1708"/>
      <c r="EE282" s="1708"/>
      <c r="EF282" s="1708"/>
      <c r="EG282" s="1708"/>
      <c r="EH282" s="1708"/>
      <c r="EI282" s="1708"/>
      <c r="EJ282" s="1708"/>
      <c r="EK282" s="1708"/>
      <c r="EL282" s="1708"/>
      <c r="EM282" s="1708"/>
      <c r="EN282" s="1708"/>
      <c r="EO282" s="1708"/>
      <c r="EP282" s="1708"/>
      <c r="EQ282" s="1708"/>
      <c r="ER282" s="1708"/>
      <c r="ES282" s="1708"/>
      <c r="ET282" s="1708"/>
      <c r="EU282" s="1708"/>
      <c r="EV282" s="1708"/>
      <c r="EW282" s="1708"/>
      <c r="EX282" s="1708"/>
      <c r="EY282" s="1708"/>
      <c r="EZ282" s="1708"/>
      <c r="FA282" s="1708"/>
      <c r="FB282" s="1708"/>
      <c r="FC282" s="1708"/>
      <c r="FD282" s="1708"/>
      <c r="FE282" s="1708"/>
      <c r="FF282" s="1708"/>
      <c r="FG282" s="1708"/>
      <c r="FH282" s="1708"/>
      <c r="FI282" s="1708"/>
      <c r="FJ282" s="1708"/>
      <c r="FK282" s="1708"/>
      <c r="FL282" s="1708"/>
      <c r="FM282" s="1708"/>
      <c r="FN282" s="1708"/>
      <c r="FO282" s="1708"/>
      <c r="FP282" s="1708"/>
      <c r="FQ282" s="1708"/>
      <c r="FR282" s="1708"/>
      <c r="FS282" s="1708"/>
      <c r="FT282" s="1708"/>
      <c r="FU282" s="1708"/>
      <c r="FV282" s="1708"/>
      <c r="FW282" s="1708"/>
      <c r="FX282" s="1708"/>
      <c r="FY282" s="1708"/>
      <c r="FZ282" s="1708"/>
      <c r="GA282" s="1708"/>
      <c r="GB282" s="1708"/>
      <c r="GC282" s="1708"/>
      <c r="GD282" s="1708"/>
      <c r="GE282" s="1708"/>
      <c r="GF282" s="1708"/>
      <c r="GG282" s="1708"/>
      <c r="GH282" s="1708"/>
      <c r="GI282" s="1708"/>
      <c r="GJ282" s="1708"/>
      <c r="GK282" s="1708"/>
      <c r="GL282" s="1708"/>
      <c r="GM282" s="1708"/>
      <c r="GN282" s="1708"/>
      <c r="GO282" s="1708"/>
      <c r="GP282" s="1708"/>
      <c r="GQ282" s="1708"/>
      <c r="GR282" s="1708"/>
      <c r="GS282" s="1708"/>
      <c r="GT282" s="1708"/>
      <c r="GU282" s="1708"/>
      <c r="GV282" s="1708"/>
      <c r="GW282" s="1708"/>
      <c r="GX282" s="1708"/>
      <c r="GY282" s="1708"/>
      <c r="GZ282" s="1708"/>
      <c r="HA282" s="1708"/>
      <c r="HB282" s="1708"/>
      <c r="HC282" s="1708"/>
      <c r="HD282" s="1708"/>
      <c r="HE282" s="1708"/>
      <c r="HF282" s="1708"/>
      <c r="HG282" s="1708"/>
      <c r="HH282" s="1708"/>
      <c r="HI282" s="1708"/>
      <c r="HJ282" s="1708"/>
      <c r="HK282" s="1708"/>
      <c r="HL282" s="1708"/>
      <c r="HM282" s="1708"/>
      <c r="HN282" s="1708"/>
      <c r="HO282" s="1708"/>
      <c r="HP282" s="1708"/>
      <c r="HQ282" s="1708"/>
      <c r="HR282" s="1708"/>
      <c r="HS282" s="1708"/>
      <c r="HT282" s="1708"/>
      <c r="HU282" s="1708"/>
      <c r="HV282" s="1708"/>
      <c r="HW282" s="1708"/>
      <c r="HX282" s="1708"/>
      <c r="HY282" s="1708"/>
      <c r="HZ282" s="1708"/>
      <c r="IA282" s="1708"/>
      <c r="IB282" s="1708"/>
      <c r="IC282" s="1708"/>
      <c r="ID282" s="1708"/>
      <c r="IE282" s="1708"/>
      <c r="IF282" s="1708"/>
      <c r="IG282" s="1708"/>
      <c r="IH282" s="1708"/>
      <c r="II282" s="1708"/>
      <c r="IJ282" s="1708"/>
      <c r="IK282" s="1708"/>
      <c r="IL282" s="1708"/>
      <c r="IM282" s="1708"/>
      <c r="IN282" s="1708"/>
      <c r="IO282" s="1708"/>
      <c r="IP282" s="1708"/>
      <c r="IQ282" s="1708"/>
      <c r="IR282" s="1708"/>
      <c r="IS282" s="1708"/>
      <c r="IT282" s="1708"/>
      <c r="IU282" s="1708"/>
      <c r="IV282" s="1708"/>
    </row>
    <row r="283" spans="2:256" s="57" customFormat="1" x14ac:dyDescent="0.25">
      <c r="B283" s="1836"/>
      <c r="G283" s="1849"/>
      <c r="J283" s="1850"/>
      <c r="K283" s="1850"/>
      <c r="S283" s="1708"/>
      <c r="T283" s="1708"/>
      <c r="U283" s="1708"/>
      <c r="V283" s="1708"/>
      <c r="W283" s="1708"/>
      <c r="X283" s="1708"/>
      <c r="Y283" s="1708"/>
      <c r="Z283" s="1708"/>
      <c r="AA283" s="1708"/>
      <c r="AB283" s="1708"/>
      <c r="AC283" s="1708"/>
      <c r="AD283" s="1708"/>
      <c r="AE283" s="1708"/>
      <c r="AF283" s="1708"/>
      <c r="AG283" s="1708"/>
      <c r="AH283" s="1708"/>
      <c r="AI283" s="1708"/>
      <c r="AJ283" s="1708"/>
      <c r="AK283" s="1708"/>
      <c r="AL283" s="1708"/>
      <c r="AM283" s="1708"/>
      <c r="AN283" s="1708"/>
      <c r="AO283" s="1708"/>
      <c r="AP283" s="1708"/>
      <c r="AQ283" s="1708"/>
      <c r="AR283" s="1708"/>
      <c r="AS283" s="1708"/>
      <c r="AT283" s="1708"/>
      <c r="AU283" s="1708"/>
      <c r="AV283" s="1708"/>
      <c r="AW283" s="1708"/>
      <c r="AX283" s="1708"/>
      <c r="AY283" s="1708"/>
      <c r="AZ283" s="1708"/>
      <c r="BA283" s="1708"/>
      <c r="BB283" s="1708"/>
      <c r="BC283" s="1708"/>
      <c r="BD283" s="1708"/>
      <c r="BE283" s="1708"/>
      <c r="BF283" s="1708"/>
      <c r="BG283" s="1708"/>
      <c r="BH283" s="1708"/>
      <c r="BI283" s="1708"/>
      <c r="BJ283" s="1708"/>
      <c r="BK283" s="1708"/>
      <c r="BL283" s="1708"/>
      <c r="BM283" s="1708"/>
      <c r="BN283" s="1708"/>
      <c r="BO283" s="1708"/>
      <c r="BP283" s="1708"/>
      <c r="BQ283" s="1708"/>
      <c r="BR283" s="1708"/>
      <c r="BS283" s="1708"/>
      <c r="BT283" s="1708"/>
      <c r="BU283" s="1708"/>
      <c r="BV283" s="1708"/>
      <c r="BW283" s="1708"/>
      <c r="BX283" s="1708"/>
      <c r="BY283" s="1708"/>
      <c r="BZ283" s="1708"/>
      <c r="CA283" s="1708"/>
      <c r="CB283" s="1708"/>
      <c r="CC283" s="1708"/>
      <c r="CD283" s="1708"/>
      <c r="CE283" s="1708"/>
      <c r="CF283" s="1708"/>
      <c r="CG283" s="1708"/>
      <c r="CH283" s="1708"/>
      <c r="CI283" s="1708"/>
      <c r="CJ283" s="1708"/>
      <c r="CK283" s="1708"/>
      <c r="CL283" s="1708"/>
      <c r="CM283" s="1708"/>
      <c r="CN283" s="1708"/>
      <c r="CO283" s="1708"/>
      <c r="CP283" s="1708"/>
      <c r="CQ283" s="1708"/>
      <c r="CR283" s="1708"/>
      <c r="CS283" s="1708"/>
      <c r="CT283" s="1708"/>
      <c r="CU283" s="1708"/>
      <c r="CV283" s="1708"/>
      <c r="CW283" s="1708"/>
      <c r="CX283" s="1708"/>
      <c r="CY283" s="1708"/>
      <c r="CZ283" s="1708"/>
      <c r="DA283" s="1708"/>
      <c r="DB283" s="1708"/>
      <c r="DC283" s="1708"/>
      <c r="DD283" s="1708"/>
      <c r="DE283" s="1708"/>
      <c r="DF283" s="1708"/>
      <c r="DG283" s="1708"/>
      <c r="DH283" s="1708"/>
      <c r="DI283" s="1708"/>
      <c r="DJ283" s="1708"/>
      <c r="DK283" s="1708"/>
      <c r="DL283" s="1708"/>
      <c r="DM283" s="1708"/>
      <c r="DN283" s="1708"/>
      <c r="DO283" s="1708"/>
      <c r="DP283" s="1708"/>
      <c r="DQ283" s="1708"/>
      <c r="DR283" s="1708"/>
      <c r="DS283" s="1708"/>
      <c r="DT283" s="1708"/>
      <c r="DU283" s="1708"/>
      <c r="DV283" s="1708"/>
      <c r="DW283" s="1708"/>
      <c r="DX283" s="1708"/>
      <c r="DY283" s="1708"/>
      <c r="DZ283" s="1708"/>
      <c r="EA283" s="1708"/>
      <c r="EB283" s="1708"/>
      <c r="EC283" s="1708"/>
      <c r="ED283" s="1708"/>
      <c r="EE283" s="1708"/>
      <c r="EF283" s="1708"/>
      <c r="EG283" s="1708"/>
      <c r="EH283" s="1708"/>
      <c r="EI283" s="1708"/>
      <c r="EJ283" s="1708"/>
      <c r="EK283" s="1708"/>
      <c r="EL283" s="1708"/>
      <c r="EM283" s="1708"/>
      <c r="EN283" s="1708"/>
      <c r="EO283" s="1708"/>
      <c r="EP283" s="1708"/>
      <c r="EQ283" s="1708"/>
      <c r="ER283" s="1708"/>
      <c r="ES283" s="1708"/>
      <c r="ET283" s="1708"/>
      <c r="EU283" s="1708"/>
      <c r="EV283" s="1708"/>
      <c r="EW283" s="1708"/>
      <c r="EX283" s="1708"/>
      <c r="EY283" s="1708"/>
      <c r="EZ283" s="1708"/>
      <c r="FA283" s="1708"/>
      <c r="FB283" s="1708"/>
      <c r="FC283" s="1708"/>
      <c r="FD283" s="1708"/>
      <c r="FE283" s="1708"/>
      <c r="FF283" s="1708"/>
      <c r="FG283" s="1708"/>
      <c r="FH283" s="1708"/>
      <c r="FI283" s="1708"/>
      <c r="FJ283" s="1708"/>
      <c r="FK283" s="1708"/>
      <c r="FL283" s="1708"/>
      <c r="FM283" s="1708"/>
      <c r="FN283" s="1708"/>
      <c r="FO283" s="1708"/>
      <c r="FP283" s="1708"/>
      <c r="FQ283" s="1708"/>
      <c r="FR283" s="1708"/>
      <c r="FS283" s="1708"/>
      <c r="FT283" s="1708"/>
      <c r="FU283" s="1708"/>
      <c r="FV283" s="1708"/>
      <c r="FW283" s="1708"/>
      <c r="FX283" s="1708"/>
      <c r="FY283" s="1708"/>
      <c r="FZ283" s="1708"/>
      <c r="GA283" s="1708"/>
      <c r="GB283" s="1708"/>
      <c r="GC283" s="1708"/>
      <c r="GD283" s="1708"/>
      <c r="GE283" s="1708"/>
      <c r="GF283" s="1708"/>
      <c r="GG283" s="1708"/>
      <c r="GH283" s="1708"/>
      <c r="GI283" s="1708"/>
      <c r="GJ283" s="1708"/>
      <c r="GK283" s="1708"/>
      <c r="GL283" s="1708"/>
      <c r="GM283" s="1708"/>
      <c r="GN283" s="1708"/>
      <c r="GO283" s="1708"/>
      <c r="GP283" s="1708"/>
      <c r="GQ283" s="1708"/>
      <c r="GR283" s="1708"/>
      <c r="GS283" s="1708"/>
      <c r="GT283" s="1708"/>
      <c r="GU283" s="1708"/>
      <c r="GV283" s="1708"/>
      <c r="GW283" s="1708"/>
      <c r="GX283" s="1708"/>
      <c r="GY283" s="1708"/>
      <c r="GZ283" s="1708"/>
      <c r="HA283" s="1708"/>
      <c r="HB283" s="1708"/>
      <c r="HC283" s="1708"/>
      <c r="HD283" s="1708"/>
      <c r="HE283" s="1708"/>
      <c r="HF283" s="1708"/>
      <c r="HG283" s="1708"/>
      <c r="HH283" s="1708"/>
      <c r="HI283" s="1708"/>
      <c r="HJ283" s="1708"/>
      <c r="HK283" s="1708"/>
      <c r="HL283" s="1708"/>
      <c r="HM283" s="1708"/>
      <c r="HN283" s="1708"/>
      <c r="HO283" s="1708"/>
      <c r="HP283" s="1708"/>
      <c r="HQ283" s="1708"/>
      <c r="HR283" s="1708"/>
      <c r="HS283" s="1708"/>
      <c r="HT283" s="1708"/>
      <c r="HU283" s="1708"/>
      <c r="HV283" s="1708"/>
      <c r="HW283" s="1708"/>
      <c r="HX283" s="1708"/>
      <c r="HY283" s="1708"/>
      <c r="HZ283" s="1708"/>
      <c r="IA283" s="1708"/>
      <c r="IB283" s="1708"/>
      <c r="IC283" s="1708"/>
      <c r="ID283" s="1708"/>
      <c r="IE283" s="1708"/>
      <c r="IF283" s="1708"/>
      <c r="IG283" s="1708"/>
      <c r="IH283" s="1708"/>
      <c r="II283" s="1708"/>
      <c r="IJ283" s="1708"/>
      <c r="IK283" s="1708"/>
      <c r="IL283" s="1708"/>
      <c r="IM283" s="1708"/>
      <c r="IN283" s="1708"/>
      <c r="IO283" s="1708"/>
      <c r="IP283" s="1708"/>
      <c r="IQ283" s="1708"/>
      <c r="IR283" s="1708"/>
      <c r="IS283" s="1708"/>
      <c r="IT283" s="1708"/>
      <c r="IU283" s="1708"/>
      <c r="IV283" s="1708"/>
    </row>
    <row r="284" spans="2:256" s="57" customFormat="1" x14ac:dyDescent="0.25">
      <c r="B284" s="1836"/>
      <c r="G284" s="1849"/>
      <c r="J284" s="1850"/>
      <c r="K284" s="1850"/>
      <c r="S284" s="1708"/>
      <c r="T284" s="1708"/>
      <c r="U284" s="1708"/>
      <c r="V284" s="1708"/>
      <c r="W284" s="1708"/>
      <c r="X284" s="1708"/>
      <c r="Y284" s="1708"/>
      <c r="Z284" s="1708"/>
      <c r="AA284" s="1708"/>
      <c r="AB284" s="1708"/>
      <c r="AC284" s="1708"/>
      <c r="AD284" s="1708"/>
      <c r="AE284" s="1708"/>
      <c r="AF284" s="1708"/>
      <c r="AG284" s="1708"/>
      <c r="AH284" s="1708"/>
      <c r="AI284" s="1708"/>
      <c r="AJ284" s="1708"/>
      <c r="AK284" s="1708"/>
      <c r="AL284" s="1708"/>
      <c r="AM284" s="1708"/>
      <c r="AN284" s="1708"/>
      <c r="AO284" s="1708"/>
      <c r="AP284" s="1708"/>
      <c r="AQ284" s="1708"/>
      <c r="AR284" s="1708"/>
      <c r="AS284" s="1708"/>
      <c r="AT284" s="1708"/>
      <c r="AU284" s="1708"/>
      <c r="AV284" s="1708"/>
      <c r="AW284" s="1708"/>
      <c r="AX284" s="1708"/>
      <c r="AY284" s="1708"/>
      <c r="AZ284" s="1708"/>
      <c r="BA284" s="1708"/>
      <c r="BB284" s="1708"/>
      <c r="BC284" s="1708"/>
      <c r="BD284" s="1708"/>
      <c r="BE284" s="1708"/>
      <c r="BF284" s="1708"/>
      <c r="BG284" s="1708"/>
      <c r="BH284" s="1708"/>
      <c r="BI284" s="1708"/>
      <c r="BJ284" s="1708"/>
      <c r="BK284" s="1708"/>
      <c r="BL284" s="1708"/>
      <c r="BM284" s="1708"/>
      <c r="BN284" s="1708"/>
      <c r="BO284" s="1708"/>
      <c r="BP284" s="1708"/>
      <c r="BQ284" s="1708"/>
      <c r="BR284" s="1708"/>
      <c r="BS284" s="1708"/>
      <c r="BT284" s="1708"/>
      <c r="BU284" s="1708"/>
      <c r="BV284" s="1708"/>
      <c r="BW284" s="1708"/>
      <c r="BX284" s="1708"/>
      <c r="BY284" s="1708"/>
      <c r="BZ284" s="1708"/>
      <c r="CA284" s="1708"/>
      <c r="CB284" s="1708"/>
      <c r="CC284" s="1708"/>
      <c r="CD284" s="1708"/>
      <c r="CE284" s="1708"/>
      <c r="CF284" s="1708"/>
      <c r="CG284" s="1708"/>
      <c r="CH284" s="1708"/>
      <c r="CI284" s="1708"/>
      <c r="CJ284" s="1708"/>
      <c r="CK284" s="1708"/>
      <c r="CL284" s="1708"/>
      <c r="CM284" s="1708"/>
      <c r="CN284" s="1708"/>
      <c r="CO284" s="1708"/>
      <c r="CP284" s="1708"/>
      <c r="CQ284" s="1708"/>
      <c r="CR284" s="1708"/>
      <c r="CS284" s="1708"/>
      <c r="CT284" s="1708"/>
      <c r="CU284" s="1708"/>
      <c r="CV284" s="1708"/>
      <c r="CW284" s="1708"/>
      <c r="CX284" s="1708"/>
      <c r="CY284" s="1708"/>
      <c r="CZ284" s="1708"/>
      <c r="DA284" s="1708"/>
      <c r="DB284" s="1708"/>
      <c r="DC284" s="1708"/>
      <c r="DD284" s="1708"/>
      <c r="DE284" s="1708"/>
      <c r="DF284" s="1708"/>
      <c r="DG284" s="1708"/>
      <c r="DH284" s="1708"/>
      <c r="DI284" s="1708"/>
      <c r="DJ284" s="1708"/>
      <c r="DK284" s="1708"/>
      <c r="DL284" s="1708"/>
      <c r="DM284" s="1708"/>
      <c r="DN284" s="1708"/>
      <c r="DO284" s="1708"/>
      <c r="DP284" s="1708"/>
      <c r="DQ284" s="1708"/>
      <c r="DR284" s="1708"/>
      <c r="DS284" s="1708"/>
      <c r="DT284" s="1708"/>
      <c r="DU284" s="1708"/>
      <c r="DV284" s="1708"/>
      <c r="DW284" s="1708"/>
      <c r="DX284" s="1708"/>
      <c r="DY284" s="1708"/>
      <c r="DZ284" s="1708"/>
      <c r="EA284" s="1708"/>
      <c r="EB284" s="1708"/>
      <c r="EC284" s="1708"/>
      <c r="ED284" s="1708"/>
      <c r="EE284" s="1708"/>
      <c r="EF284" s="1708"/>
      <c r="EG284" s="1708"/>
      <c r="EH284" s="1708"/>
      <c r="EI284" s="1708"/>
      <c r="EJ284" s="1708"/>
      <c r="EK284" s="1708"/>
      <c r="EL284" s="1708"/>
      <c r="EM284" s="1708"/>
      <c r="EN284" s="1708"/>
      <c r="EO284" s="1708"/>
      <c r="EP284" s="1708"/>
      <c r="EQ284" s="1708"/>
      <c r="ER284" s="1708"/>
      <c r="ES284" s="1708"/>
      <c r="ET284" s="1708"/>
      <c r="EU284" s="1708"/>
      <c r="EV284" s="1708"/>
      <c r="EW284" s="1708"/>
      <c r="EX284" s="1708"/>
      <c r="EY284" s="1708"/>
      <c r="EZ284" s="1708"/>
      <c r="FA284" s="1708"/>
      <c r="FB284" s="1708"/>
      <c r="FC284" s="1708"/>
      <c r="FD284" s="1708"/>
      <c r="FE284" s="1708"/>
      <c r="FF284" s="1708"/>
      <c r="FG284" s="1708"/>
      <c r="FH284" s="1708"/>
      <c r="FI284" s="1708"/>
      <c r="FJ284" s="1708"/>
      <c r="FK284" s="1708"/>
      <c r="FL284" s="1708"/>
      <c r="FM284" s="1708"/>
      <c r="FN284" s="1708"/>
      <c r="FO284" s="1708"/>
      <c r="FP284" s="1708"/>
      <c r="FQ284" s="1708"/>
      <c r="FR284" s="1708"/>
      <c r="FS284" s="1708"/>
      <c r="FT284" s="1708"/>
      <c r="FU284" s="1708"/>
      <c r="FV284" s="1708"/>
      <c r="FW284" s="1708"/>
      <c r="FX284" s="1708"/>
      <c r="FY284" s="1708"/>
      <c r="FZ284" s="1708"/>
      <c r="GA284" s="1708"/>
      <c r="GB284" s="1708"/>
      <c r="GC284" s="1708"/>
      <c r="GD284" s="1708"/>
      <c r="GE284" s="1708"/>
      <c r="GF284" s="1708"/>
      <c r="GG284" s="1708"/>
      <c r="GH284" s="1708"/>
      <c r="GI284" s="1708"/>
      <c r="GJ284" s="1708"/>
      <c r="GK284" s="1708"/>
      <c r="GL284" s="1708"/>
      <c r="GM284" s="1708"/>
      <c r="GN284" s="1708"/>
      <c r="GO284" s="1708"/>
      <c r="GP284" s="1708"/>
      <c r="GQ284" s="1708"/>
      <c r="GR284" s="1708"/>
      <c r="GS284" s="1708"/>
      <c r="GT284" s="1708"/>
      <c r="GU284" s="1708"/>
      <c r="GV284" s="1708"/>
      <c r="GW284" s="1708"/>
      <c r="GX284" s="1708"/>
      <c r="GY284" s="1708"/>
      <c r="GZ284" s="1708"/>
      <c r="HA284" s="1708"/>
      <c r="HB284" s="1708"/>
      <c r="HC284" s="1708"/>
      <c r="HD284" s="1708"/>
      <c r="HE284" s="1708"/>
      <c r="HF284" s="1708"/>
      <c r="HG284" s="1708"/>
      <c r="HH284" s="1708"/>
      <c r="HI284" s="1708"/>
      <c r="HJ284" s="1708"/>
      <c r="HK284" s="1708"/>
      <c r="HL284" s="1708"/>
      <c r="HM284" s="1708"/>
      <c r="HN284" s="1708"/>
      <c r="HO284" s="1708"/>
      <c r="HP284" s="1708"/>
      <c r="HQ284" s="1708"/>
      <c r="HR284" s="1708"/>
      <c r="HS284" s="1708"/>
      <c r="HT284" s="1708"/>
      <c r="HU284" s="1708"/>
      <c r="HV284" s="1708"/>
      <c r="HW284" s="1708"/>
      <c r="HX284" s="1708"/>
      <c r="HY284" s="1708"/>
      <c r="HZ284" s="1708"/>
      <c r="IA284" s="1708"/>
      <c r="IB284" s="1708"/>
      <c r="IC284" s="1708"/>
      <c r="ID284" s="1708"/>
      <c r="IE284" s="1708"/>
      <c r="IF284" s="1708"/>
      <c r="IG284" s="1708"/>
      <c r="IH284" s="1708"/>
      <c r="II284" s="1708"/>
      <c r="IJ284" s="1708"/>
      <c r="IK284" s="1708"/>
      <c r="IL284" s="1708"/>
      <c r="IM284" s="1708"/>
      <c r="IN284" s="1708"/>
      <c r="IO284" s="1708"/>
      <c r="IP284" s="1708"/>
      <c r="IQ284" s="1708"/>
      <c r="IR284" s="1708"/>
      <c r="IS284" s="1708"/>
      <c r="IT284" s="1708"/>
      <c r="IU284" s="1708"/>
      <c r="IV284" s="1708"/>
    </row>
    <row r="285" spans="2:256" s="57" customFormat="1" x14ac:dyDescent="0.25">
      <c r="B285" s="1836"/>
      <c r="G285" s="1849"/>
      <c r="J285" s="1850"/>
      <c r="K285" s="1850"/>
      <c r="S285" s="1708"/>
      <c r="T285" s="1708"/>
      <c r="U285" s="1708"/>
      <c r="V285" s="1708"/>
      <c r="W285" s="1708"/>
      <c r="X285" s="1708"/>
      <c r="Y285" s="1708"/>
      <c r="Z285" s="1708"/>
      <c r="AA285" s="1708"/>
      <c r="AB285" s="1708"/>
      <c r="AC285" s="1708"/>
      <c r="AD285" s="1708"/>
      <c r="AE285" s="1708"/>
      <c r="AF285" s="1708"/>
      <c r="AG285" s="1708"/>
      <c r="AH285" s="1708"/>
      <c r="AI285" s="1708"/>
      <c r="AJ285" s="1708"/>
      <c r="AK285" s="1708"/>
      <c r="AL285" s="1708"/>
      <c r="AM285" s="1708"/>
      <c r="AN285" s="1708"/>
      <c r="AO285" s="1708"/>
      <c r="AP285" s="1708"/>
      <c r="AQ285" s="1708"/>
      <c r="AR285" s="1708"/>
      <c r="AS285" s="1708"/>
      <c r="AT285" s="1708"/>
      <c r="AU285" s="1708"/>
      <c r="AV285" s="1708"/>
      <c r="AW285" s="1708"/>
      <c r="AX285" s="1708"/>
      <c r="AY285" s="1708"/>
      <c r="AZ285" s="1708"/>
      <c r="BA285" s="1708"/>
      <c r="BB285" s="1708"/>
      <c r="BC285" s="1708"/>
      <c r="BD285" s="1708"/>
      <c r="BE285" s="1708"/>
      <c r="BF285" s="1708"/>
      <c r="BG285" s="1708"/>
      <c r="BH285" s="1708"/>
      <c r="BI285" s="1708"/>
      <c r="BJ285" s="1708"/>
      <c r="BK285" s="1708"/>
      <c r="BL285" s="1708"/>
      <c r="BM285" s="1708"/>
      <c r="BN285" s="1708"/>
      <c r="BO285" s="1708"/>
      <c r="BP285" s="1708"/>
      <c r="BQ285" s="1708"/>
      <c r="BR285" s="1708"/>
      <c r="BS285" s="1708"/>
      <c r="BT285" s="1708"/>
      <c r="BU285" s="1708"/>
      <c r="BV285" s="1708"/>
      <c r="BW285" s="1708"/>
      <c r="BX285" s="1708"/>
      <c r="BY285" s="1708"/>
      <c r="BZ285" s="1708"/>
      <c r="CA285" s="1708"/>
      <c r="CB285" s="1708"/>
      <c r="CC285" s="1708"/>
      <c r="CD285" s="1708"/>
      <c r="CE285" s="1708"/>
      <c r="CF285" s="1708"/>
      <c r="CG285" s="1708"/>
      <c r="CH285" s="1708"/>
      <c r="CI285" s="1708"/>
      <c r="CJ285" s="1708"/>
      <c r="CK285" s="1708"/>
      <c r="CL285" s="1708"/>
      <c r="CM285" s="1708"/>
      <c r="CN285" s="1708"/>
      <c r="CO285" s="1708"/>
      <c r="CP285" s="1708"/>
      <c r="CQ285" s="1708"/>
      <c r="CR285" s="1708"/>
      <c r="CS285" s="1708"/>
      <c r="CT285" s="1708"/>
      <c r="CU285" s="1708"/>
      <c r="CV285" s="1708"/>
      <c r="CW285" s="1708"/>
      <c r="CX285" s="1708"/>
      <c r="CY285" s="1708"/>
      <c r="CZ285" s="1708"/>
      <c r="DA285" s="1708"/>
      <c r="DB285" s="1708"/>
      <c r="DC285" s="1708"/>
      <c r="DD285" s="1708"/>
      <c r="DE285" s="1708"/>
      <c r="DF285" s="1708"/>
      <c r="DG285" s="1708"/>
      <c r="DH285" s="1708"/>
      <c r="DI285" s="1708"/>
      <c r="DJ285" s="1708"/>
      <c r="DK285" s="1708"/>
      <c r="DL285" s="1708"/>
      <c r="DM285" s="1708"/>
      <c r="DN285" s="1708"/>
      <c r="DO285" s="1708"/>
      <c r="DP285" s="1708"/>
      <c r="DQ285" s="1708"/>
      <c r="DR285" s="1708"/>
      <c r="DS285" s="1708"/>
      <c r="DT285" s="1708"/>
      <c r="DU285" s="1708"/>
      <c r="DV285" s="1708"/>
      <c r="DW285" s="1708"/>
      <c r="DX285" s="1708"/>
      <c r="DY285" s="1708"/>
      <c r="DZ285" s="1708"/>
      <c r="EA285" s="1708"/>
      <c r="EB285" s="1708"/>
      <c r="EC285" s="1708"/>
      <c r="ED285" s="1708"/>
      <c r="EE285" s="1708"/>
      <c r="EF285" s="1708"/>
      <c r="EG285" s="1708"/>
      <c r="EH285" s="1708"/>
      <c r="EI285" s="1708"/>
      <c r="EJ285" s="1708"/>
      <c r="EK285" s="1708"/>
      <c r="EL285" s="1708"/>
      <c r="EM285" s="1708"/>
      <c r="EN285" s="1708"/>
      <c r="EO285" s="1708"/>
      <c r="EP285" s="1708"/>
      <c r="EQ285" s="1708"/>
      <c r="ER285" s="1708"/>
      <c r="ES285" s="1708"/>
      <c r="ET285" s="1708"/>
      <c r="EU285" s="1708"/>
      <c r="EV285" s="1708"/>
      <c r="EW285" s="1708"/>
      <c r="EX285" s="1708"/>
      <c r="EY285" s="1708"/>
      <c r="EZ285" s="1708"/>
      <c r="FA285" s="1708"/>
      <c r="FB285" s="1708"/>
      <c r="FC285" s="1708"/>
      <c r="FD285" s="1708"/>
      <c r="FE285" s="1708"/>
      <c r="FF285" s="1708"/>
      <c r="FG285" s="1708"/>
      <c r="FH285" s="1708"/>
      <c r="FI285" s="1708"/>
      <c r="FJ285" s="1708"/>
      <c r="FK285" s="1708"/>
      <c r="FL285" s="1708"/>
      <c r="FM285" s="1708"/>
      <c r="FN285" s="1708"/>
      <c r="FO285" s="1708"/>
      <c r="FP285" s="1708"/>
      <c r="FQ285" s="1708"/>
      <c r="FR285" s="1708"/>
      <c r="FS285" s="1708"/>
      <c r="FT285" s="1708"/>
      <c r="FU285" s="1708"/>
      <c r="FV285" s="1708"/>
      <c r="FW285" s="1708"/>
      <c r="FX285" s="1708"/>
      <c r="FY285" s="1708"/>
      <c r="FZ285" s="1708"/>
      <c r="GA285" s="1708"/>
      <c r="GB285" s="1708"/>
      <c r="GC285" s="1708"/>
      <c r="GD285" s="1708"/>
      <c r="GE285" s="1708"/>
      <c r="GF285" s="1708"/>
      <c r="GG285" s="1708"/>
      <c r="GH285" s="1708"/>
      <c r="GI285" s="1708"/>
      <c r="GJ285" s="1708"/>
      <c r="GK285" s="1708"/>
      <c r="GL285" s="1708"/>
      <c r="GM285" s="1708"/>
      <c r="GN285" s="1708"/>
      <c r="GO285" s="1708"/>
      <c r="GP285" s="1708"/>
      <c r="GQ285" s="1708"/>
      <c r="GR285" s="1708"/>
      <c r="GS285" s="1708"/>
      <c r="GT285" s="1708"/>
      <c r="GU285" s="1708"/>
      <c r="GV285" s="1708"/>
      <c r="GW285" s="1708"/>
      <c r="GX285" s="1708"/>
      <c r="GY285" s="1708"/>
      <c r="GZ285" s="1708"/>
      <c r="HA285" s="1708"/>
      <c r="HB285" s="1708"/>
      <c r="HC285" s="1708"/>
      <c r="HD285" s="1708"/>
      <c r="HE285" s="1708"/>
      <c r="HF285" s="1708"/>
      <c r="HG285" s="1708"/>
      <c r="HH285" s="1708"/>
      <c r="HI285" s="1708"/>
      <c r="HJ285" s="1708"/>
      <c r="HK285" s="1708"/>
      <c r="HL285" s="1708"/>
      <c r="HM285" s="1708"/>
      <c r="HN285" s="1708"/>
      <c r="HO285" s="1708"/>
      <c r="HP285" s="1708"/>
      <c r="HQ285" s="1708"/>
      <c r="HR285" s="1708"/>
      <c r="HS285" s="1708"/>
      <c r="HT285" s="1708"/>
      <c r="HU285" s="1708"/>
      <c r="HV285" s="1708"/>
      <c r="HW285" s="1708"/>
      <c r="HX285" s="1708"/>
      <c r="HY285" s="1708"/>
      <c r="HZ285" s="1708"/>
      <c r="IA285" s="1708"/>
      <c r="IB285" s="1708"/>
      <c r="IC285" s="1708"/>
      <c r="ID285" s="1708"/>
      <c r="IE285" s="1708"/>
      <c r="IF285" s="1708"/>
      <c r="IG285" s="1708"/>
      <c r="IH285" s="1708"/>
      <c r="II285" s="1708"/>
      <c r="IJ285" s="1708"/>
      <c r="IK285" s="1708"/>
      <c r="IL285" s="1708"/>
      <c r="IM285" s="1708"/>
      <c r="IN285" s="1708"/>
      <c r="IO285" s="1708"/>
      <c r="IP285" s="1708"/>
      <c r="IQ285" s="1708"/>
      <c r="IR285" s="1708"/>
      <c r="IS285" s="1708"/>
      <c r="IT285" s="1708"/>
      <c r="IU285" s="1708"/>
      <c r="IV285" s="1708"/>
    </row>
    <row r="286" spans="2:256" s="57" customFormat="1" x14ac:dyDescent="0.25">
      <c r="B286" s="1836"/>
      <c r="G286" s="1849"/>
      <c r="J286" s="1850"/>
      <c r="K286" s="1850"/>
      <c r="S286" s="1708"/>
      <c r="T286" s="1708"/>
      <c r="U286" s="1708"/>
      <c r="V286" s="1708"/>
      <c r="W286" s="1708"/>
      <c r="X286" s="1708"/>
      <c r="Y286" s="1708"/>
      <c r="Z286" s="1708"/>
      <c r="AA286" s="1708"/>
      <c r="AB286" s="1708"/>
      <c r="AC286" s="1708"/>
      <c r="AD286" s="1708"/>
      <c r="AE286" s="1708"/>
      <c r="AF286" s="1708"/>
      <c r="AG286" s="1708"/>
      <c r="AH286" s="1708"/>
      <c r="AI286" s="1708"/>
      <c r="AJ286" s="1708"/>
      <c r="AK286" s="1708"/>
      <c r="AL286" s="1708"/>
      <c r="AM286" s="1708"/>
      <c r="AN286" s="1708"/>
      <c r="AO286" s="1708"/>
      <c r="AP286" s="1708"/>
      <c r="AQ286" s="1708"/>
      <c r="AR286" s="1708"/>
      <c r="AS286" s="1708"/>
      <c r="AT286" s="1708"/>
      <c r="AU286" s="1708"/>
      <c r="AV286" s="1708"/>
      <c r="AW286" s="1708"/>
      <c r="AX286" s="1708"/>
      <c r="AY286" s="1708"/>
      <c r="AZ286" s="1708"/>
      <c r="BA286" s="1708"/>
      <c r="BB286" s="1708"/>
      <c r="BC286" s="1708"/>
      <c r="BD286" s="1708"/>
      <c r="BE286" s="1708"/>
      <c r="BF286" s="1708"/>
      <c r="BG286" s="1708"/>
      <c r="BH286" s="1708"/>
      <c r="BI286" s="1708"/>
      <c r="BJ286" s="1708"/>
      <c r="BK286" s="1708"/>
      <c r="BL286" s="1708"/>
      <c r="BM286" s="1708"/>
      <c r="BN286" s="1708"/>
      <c r="BO286" s="1708"/>
      <c r="BP286" s="1708"/>
      <c r="BQ286" s="1708"/>
      <c r="BR286" s="1708"/>
      <c r="BS286" s="1708"/>
      <c r="BT286" s="1708"/>
      <c r="BU286" s="1708"/>
      <c r="BV286" s="1708"/>
      <c r="BW286" s="1708"/>
      <c r="BX286" s="1708"/>
      <c r="BY286" s="1708"/>
      <c r="BZ286" s="1708"/>
      <c r="CA286" s="1708"/>
      <c r="CB286" s="1708"/>
      <c r="CC286" s="1708"/>
      <c r="CD286" s="1708"/>
      <c r="CE286" s="1708"/>
      <c r="CF286" s="1708"/>
      <c r="CG286" s="1708"/>
      <c r="CH286" s="1708"/>
      <c r="CI286" s="1708"/>
      <c r="CJ286" s="1708"/>
      <c r="CK286" s="1708"/>
      <c r="CL286" s="1708"/>
      <c r="CM286" s="1708"/>
      <c r="CN286" s="1708"/>
      <c r="CO286" s="1708"/>
      <c r="CP286" s="1708"/>
      <c r="CQ286" s="1708"/>
      <c r="CR286" s="1708"/>
      <c r="CS286" s="1708"/>
      <c r="CT286" s="1708"/>
      <c r="CU286" s="1708"/>
      <c r="CV286" s="1708"/>
      <c r="CW286" s="1708"/>
      <c r="CX286" s="1708"/>
      <c r="CY286" s="1708"/>
      <c r="CZ286" s="1708"/>
      <c r="DA286" s="1708"/>
      <c r="DB286" s="1708"/>
      <c r="DC286" s="1708"/>
      <c r="DD286" s="1708"/>
      <c r="DE286" s="1708"/>
      <c r="DF286" s="1708"/>
      <c r="DG286" s="1708"/>
      <c r="DH286" s="1708"/>
      <c r="DI286" s="1708"/>
      <c r="DJ286" s="1708"/>
      <c r="DK286" s="1708"/>
      <c r="DL286" s="1708"/>
      <c r="DM286" s="1708"/>
      <c r="DN286" s="1708"/>
      <c r="DO286" s="1708"/>
      <c r="DP286" s="1708"/>
      <c r="DQ286" s="1708"/>
      <c r="DR286" s="1708"/>
      <c r="DS286" s="1708"/>
      <c r="DT286" s="1708"/>
      <c r="DU286" s="1708"/>
      <c r="DV286" s="1708"/>
      <c r="DW286" s="1708"/>
      <c r="DX286" s="1708"/>
      <c r="DY286" s="1708"/>
      <c r="DZ286" s="1708"/>
      <c r="EA286" s="1708"/>
      <c r="EB286" s="1708"/>
      <c r="EC286" s="1708"/>
      <c r="ED286" s="1708"/>
      <c r="EE286" s="1708"/>
      <c r="EF286" s="1708"/>
      <c r="EG286" s="1708"/>
      <c r="EH286" s="1708"/>
      <c r="EI286" s="1708"/>
      <c r="EJ286" s="1708"/>
      <c r="EK286" s="1708"/>
      <c r="EL286" s="1708"/>
      <c r="EM286" s="1708"/>
      <c r="EN286" s="1708"/>
      <c r="EO286" s="1708"/>
      <c r="EP286" s="1708"/>
      <c r="EQ286" s="1708"/>
      <c r="ER286" s="1708"/>
      <c r="ES286" s="1708"/>
      <c r="ET286" s="1708"/>
      <c r="EU286" s="1708"/>
      <c r="EV286" s="1708"/>
      <c r="EW286" s="1708"/>
      <c r="EX286" s="1708"/>
      <c r="EY286" s="1708"/>
      <c r="EZ286" s="1708"/>
      <c r="FA286" s="1708"/>
      <c r="FB286" s="1708"/>
      <c r="FC286" s="1708"/>
      <c r="FD286" s="1708"/>
      <c r="FE286" s="1708"/>
      <c r="FF286" s="1708"/>
      <c r="FG286" s="1708"/>
      <c r="FH286" s="1708"/>
      <c r="FI286" s="1708"/>
      <c r="FJ286" s="1708"/>
      <c r="FK286" s="1708"/>
      <c r="FL286" s="1708"/>
      <c r="FM286" s="1708"/>
      <c r="FN286" s="1708"/>
      <c r="FO286" s="1708"/>
      <c r="FP286" s="1708"/>
      <c r="FQ286" s="1708"/>
      <c r="FR286" s="1708"/>
      <c r="FS286" s="1708"/>
      <c r="FT286" s="1708"/>
      <c r="FU286" s="1708"/>
      <c r="FV286" s="1708"/>
      <c r="FW286" s="1708"/>
      <c r="FX286" s="1708"/>
      <c r="FY286" s="1708"/>
      <c r="FZ286" s="1708"/>
      <c r="GA286" s="1708"/>
      <c r="GB286" s="1708"/>
      <c r="GC286" s="1708"/>
      <c r="GD286" s="1708"/>
      <c r="GE286" s="1708"/>
      <c r="GF286" s="1708"/>
      <c r="GG286" s="1708"/>
      <c r="GH286" s="1708"/>
      <c r="GI286" s="1708"/>
      <c r="GJ286" s="1708"/>
      <c r="GK286" s="1708"/>
      <c r="GL286" s="1708"/>
      <c r="GM286" s="1708"/>
      <c r="GN286" s="1708"/>
      <c r="GO286" s="1708"/>
      <c r="GP286" s="1708"/>
      <c r="GQ286" s="1708"/>
      <c r="GR286" s="1708"/>
      <c r="GS286" s="1708"/>
      <c r="GT286" s="1708"/>
      <c r="GU286" s="1708"/>
      <c r="GV286" s="1708"/>
      <c r="GW286" s="1708"/>
      <c r="GX286" s="1708"/>
      <c r="GY286" s="1708"/>
      <c r="GZ286" s="1708"/>
      <c r="HA286" s="1708"/>
      <c r="HB286" s="1708"/>
      <c r="HC286" s="1708"/>
      <c r="HD286" s="1708"/>
      <c r="HE286" s="1708"/>
      <c r="HF286" s="1708"/>
      <c r="HG286" s="1708"/>
      <c r="HH286" s="1708"/>
      <c r="HI286" s="1708"/>
      <c r="HJ286" s="1708"/>
      <c r="HK286" s="1708"/>
      <c r="HL286" s="1708"/>
      <c r="HM286" s="1708"/>
      <c r="HN286" s="1708"/>
      <c r="HO286" s="1708"/>
      <c r="HP286" s="1708"/>
      <c r="HQ286" s="1708"/>
      <c r="HR286" s="1708"/>
      <c r="HS286" s="1708"/>
      <c r="HT286" s="1708"/>
      <c r="HU286" s="1708"/>
      <c r="HV286" s="1708"/>
      <c r="HW286" s="1708"/>
      <c r="HX286" s="1708"/>
      <c r="HY286" s="1708"/>
      <c r="HZ286" s="1708"/>
      <c r="IA286" s="1708"/>
      <c r="IB286" s="1708"/>
      <c r="IC286" s="1708"/>
      <c r="ID286" s="1708"/>
      <c r="IE286" s="1708"/>
      <c r="IF286" s="1708"/>
      <c r="IG286" s="1708"/>
      <c r="IH286" s="1708"/>
      <c r="II286" s="1708"/>
      <c r="IJ286" s="1708"/>
      <c r="IK286" s="1708"/>
      <c r="IL286" s="1708"/>
      <c r="IM286" s="1708"/>
      <c r="IN286" s="1708"/>
      <c r="IO286" s="1708"/>
      <c r="IP286" s="1708"/>
      <c r="IQ286" s="1708"/>
      <c r="IR286" s="1708"/>
      <c r="IS286" s="1708"/>
      <c r="IT286" s="1708"/>
      <c r="IU286" s="1708"/>
      <c r="IV286" s="1708"/>
    </row>
    <row r="287" spans="2:256" s="57" customFormat="1" x14ac:dyDescent="0.25">
      <c r="B287" s="1836"/>
      <c r="G287" s="1849"/>
      <c r="J287" s="1850"/>
      <c r="K287" s="1850"/>
      <c r="S287" s="1708"/>
      <c r="T287" s="1708"/>
      <c r="U287" s="1708"/>
      <c r="V287" s="1708"/>
      <c r="W287" s="1708"/>
      <c r="X287" s="1708"/>
      <c r="Y287" s="1708"/>
      <c r="Z287" s="1708"/>
      <c r="AA287" s="1708"/>
      <c r="AB287" s="1708"/>
      <c r="AC287" s="1708"/>
      <c r="AD287" s="1708"/>
      <c r="AE287" s="1708"/>
      <c r="AF287" s="1708"/>
      <c r="AG287" s="1708"/>
      <c r="AH287" s="1708"/>
      <c r="AI287" s="1708"/>
      <c r="AJ287" s="1708"/>
      <c r="AK287" s="1708"/>
      <c r="AL287" s="1708"/>
      <c r="AM287" s="1708"/>
      <c r="AN287" s="1708"/>
      <c r="AO287" s="1708"/>
      <c r="AP287" s="1708"/>
      <c r="AQ287" s="1708"/>
      <c r="AR287" s="1708"/>
      <c r="AS287" s="1708"/>
      <c r="AT287" s="1708"/>
      <c r="AU287" s="1708"/>
      <c r="AV287" s="1708"/>
      <c r="AW287" s="1708"/>
      <c r="AX287" s="1708"/>
      <c r="AY287" s="1708"/>
      <c r="AZ287" s="1708"/>
      <c r="BA287" s="1708"/>
      <c r="BB287" s="1708"/>
      <c r="BC287" s="1708"/>
      <c r="BD287" s="1708"/>
      <c r="BE287" s="1708"/>
      <c r="BF287" s="1708"/>
      <c r="BG287" s="1708"/>
      <c r="BH287" s="1708"/>
      <c r="BI287" s="1708"/>
      <c r="BJ287" s="1708"/>
      <c r="BK287" s="1708"/>
      <c r="BL287" s="1708"/>
      <c r="BM287" s="1708"/>
      <c r="BN287" s="1708"/>
      <c r="BO287" s="1708"/>
      <c r="BP287" s="1708"/>
      <c r="BQ287" s="1708"/>
      <c r="BR287" s="1708"/>
      <c r="BS287" s="1708"/>
      <c r="BT287" s="1708"/>
      <c r="BU287" s="1708"/>
      <c r="BV287" s="1708"/>
      <c r="BW287" s="1708"/>
      <c r="BX287" s="1708"/>
      <c r="BY287" s="1708"/>
      <c r="BZ287" s="1708"/>
      <c r="CA287" s="1708"/>
      <c r="CB287" s="1708"/>
      <c r="CC287" s="1708"/>
      <c r="CD287" s="1708"/>
      <c r="CE287" s="1708"/>
      <c r="CF287" s="1708"/>
      <c r="CG287" s="1708"/>
      <c r="CH287" s="1708"/>
      <c r="CI287" s="1708"/>
      <c r="CJ287" s="1708"/>
      <c r="CK287" s="1708"/>
      <c r="CL287" s="1708"/>
      <c r="CM287" s="1708"/>
      <c r="CN287" s="1708"/>
      <c r="CO287" s="1708"/>
      <c r="CP287" s="1708"/>
      <c r="CQ287" s="1708"/>
      <c r="CR287" s="1708"/>
      <c r="CS287" s="1708"/>
      <c r="CT287" s="1708"/>
      <c r="CU287" s="1708"/>
      <c r="CV287" s="1708"/>
      <c r="CW287" s="1708"/>
      <c r="CX287" s="1708"/>
      <c r="CY287" s="1708"/>
      <c r="CZ287" s="1708"/>
      <c r="DA287" s="1708"/>
      <c r="DB287" s="1708"/>
      <c r="DC287" s="1708"/>
      <c r="DD287" s="1708"/>
      <c r="DE287" s="1708"/>
      <c r="DF287" s="1708"/>
      <c r="DG287" s="1708"/>
      <c r="DH287" s="1708"/>
      <c r="DI287" s="1708"/>
      <c r="DJ287" s="1708"/>
      <c r="DK287" s="1708"/>
      <c r="DL287" s="1708"/>
      <c r="DM287" s="1708"/>
      <c r="DN287" s="1708"/>
      <c r="DO287" s="1708"/>
      <c r="DP287" s="1708"/>
      <c r="DQ287" s="1708"/>
      <c r="DR287" s="1708"/>
      <c r="DS287" s="1708"/>
      <c r="DT287" s="1708"/>
      <c r="DU287" s="1708"/>
      <c r="DV287" s="1708"/>
      <c r="DW287" s="1708"/>
      <c r="DX287" s="1708"/>
      <c r="DY287" s="1708"/>
      <c r="DZ287" s="1708"/>
      <c r="EA287" s="1708"/>
      <c r="EB287" s="1708"/>
      <c r="EC287" s="1708"/>
      <c r="ED287" s="1708"/>
      <c r="EE287" s="1708"/>
      <c r="EF287" s="1708"/>
      <c r="EG287" s="1708"/>
      <c r="EH287" s="1708"/>
      <c r="EI287" s="1708"/>
      <c r="EJ287" s="1708"/>
      <c r="EK287" s="1708"/>
      <c r="EL287" s="1708"/>
      <c r="EM287" s="1708"/>
      <c r="EN287" s="1708"/>
      <c r="EO287" s="1708"/>
      <c r="EP287" s="1708"/>
      <c r="EQ287" s="1708"/>
      <c r="ER287" s="1708"/>
      <c r="ES287" s="1708"/>
      <c r="ET287" s="1708"/>
      <c r="EU287" s="1708"/>
      <c r="EV287" s="1708"/>
      <c r="EW287" s="1708"/>
      <c r="EX287" s="1708"/>
      <c r="EY287" s="1708"/>
      <c r="EZ287" s="1708"/>
      <c r="FA287" s="1708"/>
      <c r="FB287" s="1708"/>
      <c r="FC287" s="1708"/>
      <c r="FD287" s="1708"/>
      <c r="FE287" s="1708"/>
      <c r="FF287" s="1708"/>
      <c r="FG287" s="1708"/>
      <c r="FH287" s="1708"/>
      <c r="FI287" s="1708"/>
      <c r="FJ287" s="1708"/>
      <c r="FK287" s="1708"/>
      <c r="FL287" s="1708"/>
      <c r="FM287" s="1708"/>
      <c r="FN287" s="1708"/>
      <c r="FO287" s="1708"/>
      <c r="FP287" s="1708"/>
      <c r="FQ287" s="1708"/>
      <c r="FR287" s="1708"/>
      <c r="FS287" s="1708"/>
      <c r="FT287" s="1708"/>
      <c r="FU287" s="1708"/>
      <c r="FV287" s="1708"/>
      <c r="FW287" s="1708"/>
      <c r="FX287" s="1708"/>
      <c r="FY287" s="1708"/>
      <c r="FZ287" s="1708"/>
      <c r="GA287" s="1708"/>
      <c r="GB287" s="1708"/>
      <c r="GC287" s="1708"/>
      <c r="GD287" s="1708"/>
      <c r="GE287" s="1708"/>
      <c r="GF287" s="1708"/>
      <c r="GG287" s="1708"/>
      <c r="GH287" s="1708"/>
      <c r="GI287" s="1708"/>
      <c r="GJ287" s="1708"/>
      <c r="GK287" s="1708"/>
      <c r="GL287" s="1708"/>
      <c r="GM287" s="1708"/>
      <c r="GN287" s="1708"/>
      <c r="GO287" s="1708"/>
      <c r="GP287" s="1708"/>
      <c r="GQ287" s="1708"/>
      <c r="GR287" s="1708"/>
      <c r="GS287" s="1708"/>
      <c r="GT287" s="1708"/>
      <c r="GU287" s="1708"/>
      <c r="GV287" s="1708"/>
      <c r="GW287" s="1708"/>
      <c r="GX287" s="1708"/>
      <c r="GY287" s="1708"/>
      <c r="GZ287" s="1708"/>
      <c r="HA287" s="1708"/>
      <c r="HB287" s="1708"/>
      <c r="HC287" s="1708"/>
      <c r="HD287" s="1708"/>
      <c r="HE287" s="1708"/>
      <c r="HF287" s="1708"/>
      <c r="HG287" s="1708"/>
      <c r="HH287" s="1708"/>
      <c r="HI287" s="1708"/>
      <c r="HJ287" s="1708"/>
      <c r="HK287" s="1708"/>
      <c r="HL287" s="1708"/>
      <c r="HM287" s="1708"/>
      <c r="HN287" s="1708"/>
      <c r="HO287" s="1708"/>
      <c r="HP287" s="1708"/>
      <c r="HQ287" s="1708"/>
      <c r="HR287" s="1708"/>
      <c r="HS287" s="1708"/>
      <c r="HT287" s="1708"/>
      <c r="HU287" s="1708"/>
      <c r="HV287" s="1708"/>
      <c r="HW287" s="1708"/>
      <c r="HX287" s="1708"/>
      <c r="HY287" s="1708"/>
      <c r="HZ287" s="1708"/>
      <c r="IA287" s="1708"/>
      <c r="IB287" s="1708"/>
      <c r="IC287" s="1708"/>
      <c r="ID287" s="1708"/>
      <c r="IE287" s="1708"/>
      <c r="IF287" s="1708"/>
      <c r="IG287" s="1708"/>
      <c r="IH287" s="1708"/>
      <c r="II287" s="1708"/>
      <c r="IJ287" s="1708"/>
      <c r="IK287" s="1708"/>
      <c r="IL287" s="1708"/>
      <c r="IM287" s="1708"/>
      <c r="IN287" s="1708"/>
      <c r="IO287" s="1708"/>
      <c r="IP287" s="1708"/>
      <c r="IQ287" s="1708"/>
      <c r="IR287" s="1708"/>
      <c r="IS287" s="1708"/>
      <c r="IT287" s="1708"/>
      <c r="IU287" s="1708"/>
      <c r="IV287" s="1708"/>
    </row>
    <row r="288" spans="2:256" s="57" customFormat="1" x14ac:dyDescent="0.25">
      <c r="B288" s="1836"/>
      <c r="G288" s="1849"/>
      <c r="J288" s="1850"/>
      <c r="K288" s="1850"/>
      <c r="S288" s="1708"/>
      <c r="T288" s="1708"/>
      <c r="U288" s="1708"/>
      <c r="V288" s="1708"/>
      <c r="W288" s="1708"/>
      <c r="X288" s="1708"/>
      <c r="Y288" s="1708"/>
      <c r="Z288" s="1708"/>
      <c r="AA288" s="1708"/>
      <c r="AB288" s="1708"/>
      <c r="AC288" s="1708"/>
      <c r="AD288" s="1708"/>
      <c r="AE288" s="1708"/>
      <c r="AF288" s="1708"/>
      <c r="AG288" s="1708"/>
      <c r="AH288" s="1708"/>
      <c r="AI288" s="1708"/>
      <c r="AJ288" s="1708"/>
      <c r="AK288" s="1708"/>
      <c r="AL288" s="1708"/>
      <c r="AM288" s="1708"/>
      <c r="AN288" s="1708"/>
      <c r="AO288" s="1708"/>
      <c r="AP288" s="1708"/>
      <c r="AQ288" s="1708"/>
      <c r="AR288" s="1708"/>
      <c r="AS288" s="1708"/>
      <c r="AT288" s="1708"/>
      <c r="AU288" s="1708"/>
      <c r="AV288" s="1708"/>
      <c r="AW288" s="1708"/>
      <c r="AX288" s="1708"/>
      <c r="AY288" s="1708"/>
      <c r="AZ288" s="1708"/>
      <c r="BA288" s="1708"/>
      <c r="BB288" s="1708"/>
      <c r="BC288" s="1708"/>
      <c r="BD288" s="1708"/>
      <c r="BE288" s="1708"/>
      <c r="BF288" s="1708"/>
      <c r="BG288" s="1708"/>
      <c r="BH288" s="1708"/>
      <c r="BI288" s="1708"/>
      <c r="BJ288" s="1708"/>
      <c r="BK288" s="1708"/>
      <c r="BL288" s="1708"/>
      <c r="BM288" s="1708"/>
      <c r="BN288" s="1708"/>
      <c r="BO288" s="1708"/>
      <c r="BP288" s="1708"/>
      <c r="BQ288" s="1708"/>
      <c r="BR288" s="1708"/>
      <c r="BS288" s="1708"/>
      <c r="BT288" s="1708"/>
      <c r="BU288" s="1708"/>
      <c r="BV288" s="1708"/>
      <c r="BW288" s="1708"/>
      <c r="BX288" s="1708"/>
      <c r="BY288" s="1708"/>
      <c r="BZ288" s="1708"/>
      <c r="CA288" s="1708"/>
      <c r="CB288" s="1708"/>
      <c r="CC288" s="1708"/>
      <c r="CD288" s="1708"/>
      <c r="CE288" s="1708"/>
      <c r="CF288" s="1708"/>
      <c r="CG288" s="1708"/>
      <c r="CH288" s="1708"/>
      <c r="CI288" s="1708"/>
      <c r="CJ288" s="1708"/>
      <c r="CK288" s="1708"/>
      <c r="CL288" s="1708"/>
      <c r="CM288" s="1708"/>
      <c r="CN288" s="1708"/>
      <c r="CO288" s="1708"/>
      <c r="CP288" s="1708"/>
      <c r="CQ288" s="1708"/>
      <c r="CR288" s="1708"/>
      <c r="CS288" s="1708"/>
      <c r="CT288" s="1708"/>
      <c r="CU288" s="1708"/>
      <c r="CV288" s="1708"/>
      <c r="CW288" s="1708"/>
      <c r="CX288" s="1708"/>
      <c r="CY288" s="1708"/>
      <c r="CZ288" s="1708"/>
      <c r="DA288" s="1708"/>
      <c r="DB288" s="1708"/>
      <c r="DC288" s="1708"/>
      <c r="DD288" s="1708"/>
      <c r="DE288" s="1708"/>
      <c r="DF288" s="1708"/>
      <c r="DG288" s="1708"/>
      <c r="DH288" s="1708"/>
      <c r="DI288" s="1708"/>
      <c r="DJ288" s="1708"/>
      <c r="DK288" s="1708"/>
      <c r="DL288" s="1708"/>
      <c r="DM288" s="1708"/>
      <c r="DN288" s="1708"/>
      <c r="DO288" s="1708"/>
      <c r="DP288" s="1708"/>
      <c r="DQ288" s="1708"/>
      <c r="DR288" s="1708"/>
      <c r="DS288" s="1708"/>
      <c r="DT288" s="1708"/>
      <c r="DU288" s="1708"/>
      <c r="DV288" s="1708"/>
      <c r="DW288" s="1708"/>
      <c r="DX288" s="1708"/>
      <c r="DY288" s="1708"/>
      <c r="DZ288" s="1708"/>
      <c r="EA288" s="1708"/>
      <c r="EB288" s="1708"/>
      <c r="EC288" s="1708"/>
      <c r="ED288" s="1708"/>
      <c r="EE288" s="1708"/>
      <c r="EF288" s="1708"/>
      <c r="EG288" s="1708"/>
      <c r="EH288" s="1708"/>
      <c r="EI288" s="1708"/>
      <c r="EJ288" s="1708"/>
      <c r="EK288" s="1708"/>
      <c r="EL288" s="1708"/>
      <c r="EM288" s="1708"/>
      <c r="EN288" s="1708"/>
      <c r="EO288" s="1708"/>
      <c r="EP288" s="1708"/>
      <c r="EQ288" s="1708"/>
      <c r="ER288" s="1708"/>
      <c r="ES288" s="1708"/>
      <c r="ET288" s="1708"/>
      <c r="EU288" s="1708"/>
      <c r="EV288" s="1708"/>
      <c r="EW288" s="1708"/>
      <c r="EX288" s="1708"/>
      <c r="EY288" s="1708"/>
      <c r="EZ288" s="1708"/>
      <c r="FA288" s="1708"/>
      <c r="FB288" s="1708"/>
      <c r="FC288" s="1708"/>
      <c r="FD288" s="1708"/>
      <c r="FE288" s="1708"/>
      <c r="FF288" s="1708"/>
      <c r="FG288" s="1708"/>
      <c r="FH288" s="1708"/>
      <c r="FI288" s="1708"/>
      <c r="FJ288" s="1708"/>
      <c r="FK288" s="1708"/>
      <c r="FL288" s="1708"/>
      <c r="FM288" s="1708"/>
      <c r="FN288" s="1708"/>
      <c r="FO288" s="1708"/>
      <c r="FP288" s="1708"/>
      <c r="FQ288" s="1708"/>
      <c r="FR288" s="1708"/>
      <c r="FS288" s="1708"/>
      <c r="FT288" s="1708"/>
      <c r="FU288" s="1708"/>
      <c r="FV288" s="1708"/>
      <c r="FW288" s="1708"/>
      <c r="FX288" s="1708"/>
      <c r="FY288" s="1708"/>
      <c r="FZ288" s="1708"/>
      <c r="GA288" s="1708"/>
      <c r="GB288" s="1708"/>
      <c r="GC288" s="1708"/>
      <c r="GD288" s="1708"/>
      <c r="GE288" s="1708"/>
      <c r="GF288" s="1708"/>
      <c r="GG288" s="1708"/>
      <c r="GH288" s="1708"/>
      <c r="GI288" s="1708"/>
      <c r="GJ288" s="1708"/>
      <c r="GK288" s="1708"/>
      <c r="GL288" s="1708"/>
      <c r="GM288" s="1708"/>
      <c r="GN288" s="1708"/>
      <c r="GO288" s="1708"/>
      <c r="GP288" s="1708"/>
      <c r="GQ288" s="1708"/>
      <c r="GR288" s="1708"/>
      <c r="GS288" s="1708"/>
      <c r="GT288" s="1708"/>
      <c r="GU288" s="1708"/>
      <c r="GV288" s="1708"/>
      <c r="GW288" s="1708"/>
      <c r="GX288" s="1708"/>
      <c r="GY288" s="1708"/>
      <c r="GZ288" s="1708"/>
      <c r="HA288" s="1708"/>
      <c r="HB288" s="1708"/>
      <c r="HC288" s="1708"/>
      <c r="HD288" s="1708"/>
      <c r="HE288" s="1708"/>
      <c r="HF288" s="1708"/>
      <c r="HG288" s="1708"/>
      <c r="HH288" s="1708"/>
      <c r="HI288" s="1708"/>
      <c r="HJ288" s="1708"/>
      <c r="HK288" s="1708"/>
      <c r="HL288" s="1708"/>
      <c r="HM288" s="1708"/>
      <c r="HN288" s="1708"/>
      <c r="HO288" s="1708"/>
      <c r="HP288" s="1708"/>
      <c r="HQ288" s="1708"/>
      <c r="HR288" s="1708"/>
      <c r="HS288" s="1708"/>
      <c r="HT288" s="1708"/>
      <c r="HU288" s="1708"/>
      <c r="HV288" s="1708"/>
      <c r="HW288" s="1708"/>
      <c r="HX288" s="1708"/>
      <c r="HY288" s="1708"/>
      <c r="HZ288" s="1708"/>
      <c r="IA288" s="1708"/>
      <c r="IB288" s="1708"/>
      <c r="IC288" s="1708"/>
      <c r="ID288" s="1708"/>
      <c r="IE288" s="1708"/>
      <c r="IF288" s="1708"/>
      <c r="IG288" s="1708"/>
      <c r="IH288" s="1708"/>
      <c r="II288" s="1708"/>
      <c r="IJ288" s="1708"/>
      <c r="IK288" s="1708"/>
      <c r="IL288" s="1708"/>
      <c r="IM288" s="1708"/>
      <c r="IN288" s="1708"/>
      <c r="IO288" s="1708"/>
      <c r="IP288" s="1708"/>
      <c r="IQ288" s="1708"/>
      <c r="IR288" s="1708"/>
      <c r="IS288" s="1708"/>
      <c r="IT288" s="1708"/>
      <c r="IU288" s="1708"/>
      <c r="IV288" s="1708"/>
    </row>
    <row r="289" spans="2:256" s="57" customFormat="1" x14ac:dyDescent="0.25">
      <c r="B289" s="1836"/>
      <c r="G289" s="1849"/>
      <c r="J289" s="1850"/>
      <c r="K289" s="1850"/>
      <c r="S289" s="1708"/>
      <c r="T289" s="1708"/>
      <c r="U289" s="1708"/>
      <c r="V289" s="1708"/>
      <c r="W289" s="1708"/>
      <c r="X289" s="1708"/>
      <c r="Y289" s="1708"/>
      <c r="Z289" s="1708"/>
      <c r="AA289" s="1708"/>
      <c r="AB289" s="1708"/>
      <c r="AC289" s="1708"/>
      <c r="AD289" s="1708"/>
      <c r="AE289" s="1708"/>
      <c r="AF289" s="1708"/>
      <c r="AG289" s="1708"/>
      <c r="AH289" s="1708"/>
      <c r="AI289" s="1708"/>
      <c r="AJ289" s="1708"/>
      <c r="AK289" s="1708"/>
      <c r="AL289" s="1708"/>
      <c r="AM289" s="1708"/>
      <c r="AN289" s="1708"/>
      <c r="AO289" s="1708"/>
      <c r="AP289" s="1708"/>
      <c r="AQ289" s="1708"/>
      <c r="AR289" s="1708"/>
      <c r="AS289" s="1708"/>
      <c r="AT289" s="1708"/>
      <c r="AU289" s="1708"/>
      <c r="AV289" s="1708"/>
      <c r="AW289" s="1708"/>
      <c r="AX289" s="1708"/>
      <c r="AY289" s="1708"/>
      <c r="AZ289" s="1708"/>
      <c r="BA289" s="1708"/>
      <c r="BB289" s="1708"/>
      <c r="BC289" s="1708"/>
      <c r="BD289" s="1708"/>
      <c r="BE289" s="1708"/>
      <c r="BF289" s="1708"/>
      <c r="BG289" s="1708"/>
      <c r="BH289" s="1708"/>
      <c r="BI289" s="1708"/>
      <c r="BJ289" s="1708"/>
      <c r="BK289" s="1708"/>
      <c r="BL289" s="1708"/>
      <c r="BM289" s="1708"/>
      <c r="BN289" s="1708"/>
      <c r="BO289" s="1708"/>
      <c r="BP289" s="1708"/>
      <c r="BQ289" s="1708"/>
      <c r="BR289" s="1708"/>
      <c r="BS289" s="1708"/>
      <c r="BT289" s="1708"/>
      <c r="BU289" s="1708"/>
      <c r="BV289" s="1708"/>
      <c r="BW289" s="1708"/>
      <c r="BX289" s="1708"/>
      <c r="BY289" s="1708"/>
      <c r="BZ289" s="1708"/>
      <c r="CA289" s="1708"/>
      <c r="CB289" s="1708"/>
      <c r="CC289" s="1708"/>
      <c r="CD289" s="1708"/>
      <c r="CE289" s="1708"/>
      <c r="CF289" s="1708"/>
      <c r="CG289" s="1708"/>
      <c r="CH289" s="1708"/>
      <c r="CI289" s="1708"/>
      <c r="CJ289" s="1708"/>
      <c r="CK289" s="1708"/>
      <c r="CL289" s="1708"/>
      <c r="CM289" s="1708"/>
      <c r="CN289" s="1708"/>
      <c r="CO289" s="1708"/>
      <c r="CP289" s="1708"/>
      <c r="CQ289" s="1708"/>
      <c r="CR289" s="1708"/>
      <c r="CS289" s="1708"/>
      <c r="CT289" s="1708"/>
      <c r="CU289" s="1708"/>
      <c r="CV289" s="1708"/>
      <c r="CW289" s="1708"/>
      <c r="CX289" s="1708"/>
      <c r="CY289" s="1708"/>
      <c r="CZ289" s="1708"/>
      <c r="DA289" s="1708"/>
      <c r="DB289" s="1708"/>
      <c r="DC289" s="1708"/>
      <c r="DD289" s="1708"/>
      <c r="DE289" s="1708"/>
      <c r="DF289" s="1708"/>
      <c r="DG289" s="1708"/>
      <c r="DH289" s="1708"/>
      <c r="DI289" s="1708"/>
      <c r="DJ289" s="1708"/>
      <c r="DK289" s="1708"/>
      <c r="DL289" s="1708"/>
      <c r="DM289" s="1708"/>
      <c r="DN289" s="1708"/>
      <c r="DO289" s="1708"/>
      <c r="DP289" s="1708"/>
      <c r="DQ289" s="1708"/>
      <c r="DR289" s="1708"/>
      <c r="DS289" s="1708"/>
      <c r="DT289" s="1708"/>
      <c r="DU289" s="1708"/>
      <c r="DV289" s="1708"/>
      <c r="DW289" s="1708"/>
      <c r="DX289" s="1708"/>
      <c r="DY289" s="1708"/>
      <c r="DZ289" s="1708"/>
      <c r="EA289" s="1708"/>
      <c r="EB289" s="1708"/>
      <c r="EC289" s="1708"/>
      <c r="ED289" s="1708"/>
      <c r="EE289" s="1708"/>
      <c r="EF289" s="1708"/>
      <c r="EG289" s="1708"/>
      <c r="EH289" s="1708"/>
      <c r="EI289" s="1708"/>
      <c r="EJ289" s="1708"/>
      <c r="EK289" s="1708"/>
      <c r="EL289" s="1708"/>
      <c r="EM289" s="1708"/>
      <c r="EN289" s="1708"/>
      <c r="EO289" s="1708"/>
      <c r="EP289" s="1708"/>
      <c r="EQ289" s="1708"/>
      <c r="ER289" s="1708"/>
      <c r="ES289" s="1708"/>
      <c r="ET289" s="1708"/>
      <c r="EU289" s="1708"/>
      <c r="EV289" s="1708"/>
      <c r="EW289" s="1708"/>
      <c r="EX289" s="1708"/>
      <c r="EY289" s="1708"/>
      <c r="EZ289" s="1708"/>
      <c r="FA289" s="1708"/>
      <c r="FB289" s="1708"/>
      <c r="FC289" s="1708"/>
      <c r="FD289" s="1708"/>
      <c r="FE289" s="1708"/>
      <c r="FF289" s="1708"/>
      <c r="FG289" s="1708"/>
      <c r="FH289" s="1708"/>
      <c r="FI289" s="1708"/>
      <c r="FJ289" s="1708"/>
      <c r="FK289" s="1708"/>
      <c r="FL289" s="1708"/>
      <c r="FM289" s="1708"/>
      <c r="FN289" s="1708"/>
      <c r="FO289" s="1708"/>
      <c r="FP289" s="1708"/>
      <c r="FQ289" s="1708"/>
      <c r="FR289" s="1708"/>
      <c r="FS289" s="1708"/>
      <c r="FT289" s="1708"/>
      <c r="FU289" s="1708"/>
      <c r="FV289" s="1708"/>
      <c r="FW289" s="1708"/>
      <c r="FX289" s="1708"/>
      <c r="FY289" s="1708"/>
      <c r="FZ289" s="1708"/>
      <c r="GA289" s="1708"/>
      <c r="GB289" s="1708"/>
      <c r="GC289" s="1708"/>
      <c r="GD289" s="1708"/>
      <c r="GE289" s="1708"/>
      <c r="GF289" s="1708"/>
      <c r="GG289" s="1708"/>
      <c r="GH289" s="1708"/>
      <c r="GI289" s="1708"/>
      <c r="GJ289" s="1708"/>
      <c r="GK289" s="1708"/>
      <c r="GL289" s="1708"/>
      <c r="GM289" s="1708"/>
      <c r="GN289" s="1708"/>
      <c r="GO289" s="1708"/>
      <c r="GP289" s="1708"/>
      <c r="GQ289" s="1708"/>
      <c r="GR289" s="1708"/>
      <c r="GS289" s="1708"/>
      <c r="GT289" s="1708"/>
      <c r="GU289" s="1708"/>
      <c r="GV289" s="1708"/>
      <c r="GW289" s="1708"/>
      <c r="GX289" s="1708"/>
      <c r="GY289" s="1708"/>
      <c r="GZ289" s="1708"/>
      <c r="HA289" s="1708"/>
      <c r="HB289" s="1708"/>
      <c r="HC289" s="1708"/>
      <c r="HD289" s="1708"/>
      <c r="HE289" s="1708"/>
      <c r="HF289" s="1708"/>
      <c r="HG289" s="1708"/>
      <c r="HH289" s="1708"/>
      <c r="HI289" s="1708"/>
      <c r="HJ289" s="1708"/>
      <c r="HK289" s="1708"/>
      <c r="HL289" s="1708"/>
      <c r="HM289" s="1708"/>
      <c r="HN289" s="1708"/>
      <c r="HO289" s="1708"/>
      <c r="HP289" s="1708"/>
      <c r="HQ289" s="1708"/>
      <c r="HR289" s="1708"/>
      <c r="HS289" s="1708"/>
      <c r="HT289" s="1708"/>
      <c r="HU289" s="1708"/>
      <c r="HV289" s="1708"/>
      <c r="HW289" s="1708"/>
      <c r="HX289" s="1708"/>
      <c r="HY289" s="1708"/>
      <c r="HZ289" s="1708"/>
      <c r="IA289" s="1708"/>
      <c r="IB289" s="1708"/>
      <c r="IC289" s="1708"/>
      <c r="ID289" s="1708"/>
      <c r="IE289" s="1708"/>
      <c r="IF289" s="1708"/>
      <c r="IG289" s="1708"/>
      <c r="IH289" s="1708"/>
      <c r="II289" s="1708"/>
      <c r="IJ289" s="1708"/>
      <c r="IK289" s="1708"/>
      <c r="IL289" s="1708"/>
      <c r="IM289" s="1708"/>
      <c r="IN289" s="1708"/>
      <c r="IO289" s="1708"/>
      <c r="IP289" s="1708"/>
      <c r="IQ289" s="1708"/>
      <c r="IR289" s="1708"/>
      <c r="IS289" s="1708"/>
      <c r="IT289" s="1708"/>
      <c r="IU289" s="1708"/>
      <c r="IV289" s="1708"/>
    </row>
    <row r="290" spans="2:256" s="57" customFormat="1" x14ac:dyDescent="0.25">
      <c r="B290" s="1836"/>
      <c r="G290" s="1849"/>
      <c r="J290" s="1850"/>
      <c r="K290" s="1850"/>
      <c r="S290" s="1708"/>
      <c r="T290" s="1708"/>
      <c r="U290" s="1708"/>
      <c r="V290" s="1708"/>
      <c r="W290" s="1708"/>
      <c r="X290" s="1708"/>
      <c r="Y290" s="1708"/>
      <c r="Z290" s="1708"/>
      <c r="AA290" s="1708"/>
      <c r="AB290" s="1708"/>
      <c r="AC290" s="1708"/>
      <c r="AD290" s="1708"/>
      <c r="AE290" s="1708"/>
      <c r="AF290" s="1708"/>
      <c r="AG290" s="1708"/>
      <c r="AH290" s="1708"/>
      <c r="AI290" s="1708"/>
      <c r="AJ290" s="1708"/>
      <c r="AK290" s="1708"/>
      <c r="AL290" s="1708"/>
      <c r="AM290" s="1708"/>
      <c r="AN290" s="1708"/>
      <c r="AO290" s="1708"/>
      <c r="AP290" s="1708"/>
      <c r="AQ290" s="1708"/>
      <c r="AR290" s="1708"/>
      <c r="AS290" s="1708"/>
      <c r="AT290" s="1708"/>
      <c r="AU290" s="1708"/>
      <c r="AV290" s="1708"/>
      <c r="AW290" s="1708"/>
      <c r="AX290" s="1708"/>
      <c r="AY290" s="1708"/>
      <c r="AZ290" s="1708"/>
      <c r="BA290" s="1708"/>
      <c r="BB290" s="1708"/>
      <c r="BC290" s="1708"/>
      <c r="BD290" s="1708"/>
      <c r="BE290" s="1708"/>
      <c r="BF290" s="1708"/>
      <c r="BG290" s="1708"/>
      <c r="BH290" s="1708"/>
      <c r="BI290" s="1708"/>
      <c r="BJ290" s="1708"/>
      <c r="BK290" s="1708"/>
      <c r="BL290" s="1708"/>
      <c r="BM290" s="1708"/>
      <c r="BN290" s="1708"/>
      <c r="BO290" s="1708"/>
      <c r="BP290" s="1708"/>
      <c r="BQ290" s="1708"/>
      <c r="BR290" s="1708"/>
      <c r="BS290" s="1708"/>
      <c r="BT290" s="1708"/>
      <c r="BU290" s="1708"/>
      <c r="BV290" s="1708"/>
      <c r="BW290" s="1708"/>
      <c r="BX290" s="1708"/>
      <c r="BY290" s="1708"/>
      <c r="BZ290" s="1708"/>
      <c r="CA290" s="1708"/>
      <c r="CB290" s="1708"/>
      <c r="CC290" s="1708"/>
      <c r="CD290" s="1708"/>
      <c r="CE290" s="1708"/>
      <c r="CF290" s="1708"/>
      <c r="CG290" s="1708"/>
      <c r="CH290" s="1708"/>
      <c r="CI290" s="1708"/>
      <c r="CJ290" s="1708"/>
      <c r="CK290" s="1708"/>
      <c r="CL290" s="1708"/>
      <c r="CM290" s="1708"/>
      <c r="CN290" s="1708"/>
      <c r="CO290" s="1708"/>
      <c r="CP290" s="1708"/>
      <c r="CQ290" s="1708"/>
      <c r="CR290" s="1708"/>
      <c r="CS290" s="1708"/>
      <c r="CT290" s="1708"/>
      <c r="CU290" s="1708"/>
      <c r="CV290" s="1708"/>
      <c r="CW290" s="1708"/>
      <c r="CX290" s="1708"/>
      <c r="CY290" s="1708"/>
      <c r="CZ290" s="1708"/>
      <c r="DA290" s="1708"/>
      <c r="DB290" s="1708"/>
      <c r="DC290" s="1708"/>
      <c r="DD290" s="1708"/>
      <c r="DE290" s="1708"/>
      <c r="DF290" s="1708"/>
      <c r="DG290" s="1708"/>
      <c r="DH290" s="1708"/>
      <c r="DI290" s="1708"/>
      <c r="DJ290" s="1708"/>
      <c r="DK290" s="1708"/>
      <c r="DL290" s="1708"/>
      <c r="DM290" s="1708"/>
      <c r="DN290" s="1708"/>
      <c r="DO290" s="1708"/>
      <c r="DP290" s="1708"/>
      <c r="DQ290" s="1708"/>
      <c r="DR290" s="1708"/>
      <c r="DS290" s="1708"/>
      <c r="DT290" s="1708"/>
      <c r="DU290" s="1708"/>
      <c r="DV290" s="1708"/>
      <c r="DW290" s="1708"/>
      <c r="DX290" s="1708"/>
      <c r="DY290" s="1708"/>
      <c r="DZ290" s="1708"/>
      <c r="EA290" s="1708"/>
      <c r="EB290" s="1708"/>
      <c r="EC290" s="1708"/>
      <c r="ED290" s="1708"/>
      <c r="EE290" s="1708"/>
      <c r="EF290" s="1708"/>
      <c r="EG290" s="1708"/>
      <c r="EH290" s="1708"/>
      <c r="EI290" s="1708"/>
      <c r="EJ290" s="1708"/>
      <c r="EK290" s="1708"/>
      <c r="EL290" s="1708"/>
      <c r="EM290" s="1708"/>
      <c r="EN290" s="1708"/>
      <c r="EO290" s="1708"/>
      <c r="EP290" s="1708"/>
      <c r="EQ290" s="1708"/>
      <c r="ER290" s="1708"/>
      <c r="ES290" s="1708"/>
      <c r="ET290" s="1708"/>
      <c r="EU290" s="1708"/>
      <c r="EV290" s="1708"/>
      <c r="EW290" s="1708"/>
      <c r="EX290" s="1708"/>
      <c r="EY290" s="1708"/>
      <c r="EZ290" s="1708"/>
      <c r="FA290" s="1708"/>
      <c r="FB290" s="1708"/>
      <c r="FC290" s="1708"/>
      <c r="FD290" s="1708"/>
      <c r="FE290" s="1708"/>
      <c r="FF290" s="1708"/>
      <c r="FG290" s="1708"/>
      <c r="FH290" s="1708"/>
      <c r="FI290" s="1708"/>
      <c r="FJ290" s="1708"/>
      <c r="FK290" s="1708"/>
      <c r="FL290" s="1708"/>
      <c r="FM290" s="1708"/>
      <c r="FN290" s="1708"/>
      <c r="FO290" s="1708"/>
      <c r="FP290" s="1708"/>
      <c r="FQ290" s="1708"/>
      <c r="FR290" s="1708"/>
      <c r="FS290" s="1708"/>
      <c r="FT290" s="1708"/>
      <c r="FU290" s="1708"/>
      <c r="FV290" s="1708"/>
      <c r="FW290" s="1708"/>
      <c r="FX290" s="1708"/>
      <c r="FY290" s="1708"/>
      <c r="FZ290" s="1708"/>
      <c r="GA290" s="1708"/>
      <c r="GB290" s="1708"/>
      <c r="GC290" s="1708"/>
      <c r="GD290" s="1708"/>
      <c r="GE290" s="1708"/>
      <c r="GF290" s="1708"/>
      <c r="GG290" s="1708"/>
      <c r="GH290" s="1708"/>
      <c r="GI290" s="1708"/>
      <c r="GJ290" s="1708"/>
      <c r="GK290" s="1708"/>
      <c r="GL290" s="1708"/>
      <c r="GM290" s="1708"/>
      <c r="GN290" s="1708"/>
      <c r="GO290" s="1708"/>
      <c r="GP290" s="1708"/>
      <c r="GQ290" s="1708"/>
      <c r="GR290" s="1708"/>
      <c r="GS290" s="1708"/>
      <c r="GT290" s="1708"/>
      <c r="GU290" s="1708"/>
      <c r="GV290" s="1708"/>
      <c r="GW290" s="1708"/>
      <c r="GX290" s="1708"/>
      <c r="GY290" s="1708"/>
      <c r="GZ290" s="1708"/>
      <c r="HA290" s="1708"/>
      <c r="HB290" s="1708"/>
      <c r="HC290" s="1708"/>
      <c r="HD290" s="1708"/>
      <c r="HE290" s="1708"/>
      <c r="HF290" s="1708"/>
      <c r="HG290" s="1708"/>
      <c r="HH290" s="1708"/>
      <c r="HI290" s="1708"/>
      <c r="HJ290" s="1708"/>
      <c r="HK290" s="1708"/>
      <c r="HL290" s="1708"/>
      <c r="HM290" s="1708"/>
      <c r="HN290" s="1708"/>
      <c r="HO290" s="1708"/>
      <c r="HP290" s="1708"/>
      <c r="HQ290" s="1708"/>
      <c r="HR290" s="1708"/>
      <c r="HS290" s="1708"/>
      <c r="HT290" s="1708"/>
      <c r="HU290" s="1708"/>
      <c r="HV290" s="1708"/>
      <c r="HW290" s="1708"/>
      <c r="HX290" s="1708"/>
      <c r="HY290" s="1708"/>
      <c r="HZ290" s="1708"/>
      <c r="IA290" s="1708"/>
      <c r="IB290" s="1708"/>
      <c r="IC290" s="1708"/>
      <c r="ID290" s="1708"/>
      <c r="IE290" s="1708"/>
      <c r="IF290" s="1708"/>
      <c r="IG290" s="1708"/>
      <c r="IH290" s="1708"/>
      <c r="II290" s="1708"/>
      <c r="IJ290" s="1708"/>
      <c r="IK290" s="1708"/>
      <c r="IL290" s="1708"/>
      <c r="IM290" s="1708"/>
      <c r="IN290" s="1708"/>
      <c r="IO290" s="1708"/>
      <c r="IP290" s="1708"/>
      <c r="IQ290" s="1708"/>
      <c r="IR290" s="1708"/>
      <c r="IS290" s="1708"/>
      <c r="IT290" s="1708"/>
      <c r="IU290" s="1708"/>
      <c r="IV290" s="1708"/>
    </row>
    <row r="291" spans="2:256" s="57" customFormat="1" x14ac:dyDescent="0.25">
      <c r="B291" s="1836"/>
      <c r="G291" s="1849"/>
      <c r="J291" s="1850"/>
      <c r="K291" s="1850"/>
      <c r="S291" s="1708"/>
      <c r="T291" s="1708"/>
      <c r="U291" s="1708"/>
      <c r="V291" s="1708"/>
      <c r="W291" s="1708"/>
      <c r="X291" s="1708"/>
      <c r="Y291" s="1708"/>
      <c r="Z291" s="1708"/>
      <c r="AA291" s="1708"/>
      <c r="AB291" s="1708"/>
      <c r="AC291" s="1708"/>
      <c r="AD291" s="1708"/>
      <c r="AE291" s="1708"/>
      <c r="AF291" s="1708"/>
      <c r="AG291" s="1708"/>
      <c r="AH291" s="1708"/>
      <c r="AI291" s="1708"/>
      <c r="AJ291" s="1708"/>
      <c r="AK291" s="1708"/>
      <c r="AL291" s="1708"/>
      <c r="AM291" s="1708"/>
      <c r="AN291" s="1708"/>
      <c r="AO291" s="1708"/>
      <c r="AP291" s="1708"/>
      <c r="AQ291" s="1708"/>
      <c r="AR291" s="1708"/>
      <c r="AS291" s="1708"/>
      <c r="AT291" s="1708"/>
      <c r="AU291" s="1708"/>
      <c r="AV291" s="1708"/>
      <c r="AW291" s="1708"/>
      <c r="AX291" s="1708"/>
      <c r="AY291" s="1708"/>
      <c r="AZ291" s="1708"/>
      <c r="BA291" s="1708"/>
      <c r="BB291" s="1708"/>
      <c r="BC291" s="1708"/>
      <c r="BD291" s="1708"/>
      <c r="BE291" s="1708"/>
      <c r="BF291" s="1708"/>
      <c r="BG291" s="1708"/>
      <c r="BH291" s="1708"/>
      <c r="BI291" s="1708"/>
      <c r="BJ291" s="1708"/>
      <c r="BK291" s="1708"/>
      <c r="BL291" s="1708"/>
      <c r="BM291" s="1708"/>
      <c r="BN291" s="1708"/>
      <c r="BO291" s="1708"/>
      <c r="BP291" s="1708"/>
      <c r="BQ291" s="1708"/>
      <c r="BR291" s="1708"/>
      <c r="BS291" s="1708"/>
      <c r="BT291" s="1708"/>
      <c r="BU291" s="1708"/>
      <c r="BV291" s="1708"/>
      <c r="BW291" s="1708"/>
      <c r="BX291" s="1708"/>
      <c r="BY291" s="1708"/>
      <c r="BZ291" s="1708"/>
      <c r="CA291" s="1708"/>
      <c r="CB291" s="1708"/>
      <c r="CC291" s="1708"/>
      <c r="CD291" s="1708"/>
      <c r="CE291" s="1708"/>
      <c r="CF291" s="1708"/>
      <c r="CG291" s="1708"/>
      <c r="CH291" s="1708"/>
      <c r="CI291" s="1708"/>
      <c r="CJ291" s="1708"/>
      <c r="CK291" s="1708"/>
      <c r="CL291" s="1708"/>
      <c r="CM291" s="1708"/>
      <c r="CN291" s="1708"/>
      <c r="CO291" s="1708"/>
      <c r="CP291" s="1708"/>
      <c r="CQ291" s="1708"/>
      <c r="CR291" s="1708"/>
      <c r="CS291" s="1708"/>
      <c r="CT291" s="1708"/>
      <c r="CU291" s="1708"/>
      <c r="CV291" s="1708"/>
      <c r="CW291" s="1708"/>
      <c r="CX291" s="1708"/>
      <c r="CY291" s="1708"/>
      <c r="CZ291" s="1708"/>
      <c r="DA291" s="1708"/>
      <c r="DB291" s="1708"/>
      <c r="DC291" s="1708"/>
      <c r="DD291" s="1708"/>
      <c r="DE291" s="1708"/>
      <c r="DF291" s="1708"/>
      <c r="DG291" s="1708"/>
      <c r="DH291" s="1708"/>
      <c r="DI291" s="1708"/>
      <c r="DJ291" s="1708"/>
      <c r="DK291" s="1708"/>
      <c r="DL291" s="1708"/>
      <c r="DM291" s="1708"/>
      <c r="DN291" s="1708"/>
      <c r="DO291" s="1708"/>
      <c r="DP291" s="1708"/>
      <c r="DQ291" s="1708"/>
      <c r="DR291" s="1708"/>
      <c r="DS291" s="1708"/>
      <c r="DT291" s="1708"/>
      <c r="DU291" s="1708"/>
      <c r="DV291" s="1708"/>
      <c r="DW291" s="1708"/>
      <c r="DX291" s="1708"/>
      <c r="DY291" s="1708"/>
      <c r="DZ291" s="1708"/>
      <c r="EA291" s="1708"/>
      <c r="EB291" s="1708"/>
      <c r="EC291" s="1708"/>
      <c r="ED291" s="1708"/>
      <c r="EE291" s="1708"/>
      <c r="EF291" s="1708"/>
      <c r="EG291" s="1708"/>
      <c r="EH291" s="1708"/>
      <c r="EI291" s="1708"/>
      <c r="EJ291" s="1708"/>
      <c r="EK291" s="1708"/>
      <c r="EL291" s="1708"/>
      <c r="EM291" s="1708"/>
      <c r="EN291" s="1708"/>
      <c r="EO291" s="1708"/>
      <c r="EP291" s="1708"/>
      <c r="EQ291" s="1708"/>
      <c r="ER291" s="1708"/>
      <c r="ES291" s="1708"/>
      <c r="ET291" s="1708"/>
      <c r="EU291" s="1708"/>
      <c r="EV291" s="1708"/>
      <c r="EW291" s="1708"/>
      <c r="EX291" s="1708"/>
      <c r="EY291" s="1708"/>
      <c r="EZ291" s="1708"/>
      <c r="FA291" s="1708"/>
      <c r="FB291" s="1708"/>
      <c r="FC291" s="1708"/>
      <c r="FD291" s="1708"/>
      <c r="FE291" s="1708"/>
      <c r="FF291" s="1708"/>
      <c r="FG291" s="1708"/>
      <c r="FH291" s="1708"/>
      <c r="FI291" s="1708"/>
      <c r="FJ291" s="1708"/>
      <c r="FK291" s="1708"/>
      <c r="FL291" s="1708"/>
      <c r="FM291" s="1708"/>
      <c r="FN291" s="1708"/>
      <c r="FO291" s="1708"/>
      <c r="FP291" s="1708"/>
      <c r="FQ291" s="1708"/>
      <c r="FR291" s="1708"/>
      <c r="FS291" s="1708"/>
      <c r="FT291" s="1708"/>
      <c r="FU291" s="1708"/>
      <c r="FV291" s="1708"/>
      <c r="FW291" s="1708"/>
      <c r="FX291" s="1708"/>
      <c r="FY291" s="1708"/>
      <c r="FZ291" s="1708"/>
      <c r="GA291" s="1708"/>
      <c r="GB291" s="1708"/>
      <c r="GC291" s="1708"/>
      <c r="GD291" s="1708"/>
      <c r="GE291" s="1708"/>
      <c r="GF291" s="1708"/>
      <c r="GG291" s="1708"/>
      <c r="GH291" s="1708"/>
      <c r="GI291" s="1708"/>
      <c r="GJ291" s="1708"/>
      <c r="GK291" s="1708"/>
      <c r="GL291" s="1708"/>
      <c r="GM291" s="1708"/>
      <c r="GN291" s="1708"/>
      <c r="GO291" s="1708"/>
      <c r="GP291" s="1708"/>
      <c r="GQ291" s="1708"/>
      <c r="GR291" s="1708"/>
      <c r="GS291" s="1708"/>
      <c r="GT291" s="1708"/>
      <c r="GU291" s="1708"/>
      <c r="GV291" s="1708"/>
      <c r="GW291" s="1708"/>
      <c r="GX291" s="1708"/>
      <c r="GY291" s="1708"/>
      <c r="GZ291" s="1708"/>
      <c r="HA291" s="1708"/>
      <c r="HB291" s="1708"/>
      <c r="HC291" s="1708"/>
      <c r="HD291" s="1708"/>
      <c r="HE291" s="1708"/>
      <c r="HF291" s="1708"/>
      <c r="HG291" s="1708"/>
      <c r="HH291" s="1708"/>
      <c r="HI291" s="1708"/>
      <c r="HJ291" s="1708"/>
      <c r="HK291" s="1708"/>
      <c r="HL291" s="1708"/>
      <c r="HM291" s="1708"/>
      <c r="HN291" s="1708"/>
      <c r="HO291" s="1708"/>
      <c r="HP291" s="1708"/>
      <c r="HQ291" s="1708"/>
      <c r="HR291" s="1708"/>
      <c r="HS291" s="1708"/>
      <c r="HT291" s="1708"/>
      <c r="HU291" s="1708"/>
      <c r="HV291" s="1708"/>
      <c r="HW291" s="1708"/>
      <c r="HX291" s="1708"/>
      <c r="HY291" s="1708"/>
      <c r="HZ291" s="1708"/>
      <c r="IA291" s="1708"/>
      <c r="IB291" s="1708"/>
      <c r="IC291" s="1708"/>
      <c r="ID291" s="1708"/>
      <c r="IE291" s="1708"/>
      <c r="IF291" s="1708"/>
      <c r="IG291" s="1708"/>
      <c r="IH291" s="1708"/>
      <c r="II291" s="1708"/>
      <c r="IJ291" s="1708"/>
      <c r="IK291" s="1708"/>
      <c r="IL291" s="1708"/>
      <c r="IM291" s="1708"/>
      <c r="IN291" s="1708"/>
      <c r="IO291" s="1708"/>
      <c r="IP291" s="1708"/>
      <c r="IQ291" s="1708"/>
      <c r="IR291" s="1708"/>
      <c r="IS291" s="1708"/>
      <c r="IT291" s="1708"/>
      <c r="IU291" s="1708"/>
      <c r="IV291" s="1708"/>
    </row>
    <row r="292" spans="2:256" s="57" customFormat="1" x14ac:dyDescent="0.25">
      <c r="B292" s="1836"/>
      <c r="G292" s="1849"/>
      <c r="J292" s="1850"/>
      <c r="K292" s="1850"/>
      <c r="S292" s="1708"/>
      <c r="T292" s="1708"/>
      <c r="U292" s="1708"/>
      <c r="V292" s="1708"/>
      <c r="W292" s="1708"/>
      <c r="X292" s="1708"/>
      <c r="Y292" s="1708"/>
      <c r="Z292" s="1708"/>
      <c r="AA292" s="1708"/>
      <c r="AB292" s="1708"/>
      <c r="AC292" s="1708"/>
      <c r="AD292" s="1708"/>
      <c r="AE292" s="1708"/>
      <c r="AF292" s="1708"/>
      <c r="AG292" s="1708"/>
      <c r="AH292" s="1708"/>
      <c r="AI292" s="1708"/>
      <c r="AJ292" s="1708"/>
      <c r="AK292" s="1708"/>
      <c r="AL292" s="1708"/>
      <c r="AM292" s="1708"/>
      <c r="AN292" s="1708"/>
      <c r="AO292" s="1708"/>
      <c r="AP292" s="1708"/>
      <c r="AQ292" s="1708"/>
      <c r="AR292" s="1708"/>
      <c r="AS292" s="1708"/>
      <c r="AT292" s="1708"/>
      <c r="AU292" s="1708"/>
      <c r="AV292" s="1708"/>
      <c r="AW292" s="1708"/>
      <c r="AX292" s="1708"/>
      <c r="AY292" s="1708"/>
      <c r="AZ292" s="1708"/>
      <c r="BA292" s="1708"/>
      <c r="BB292" s="1708"/>
      <c r="BC292" s="1708"/>
      <c r="BD292" s="1708"/>
      <c r="BE292" s="1708"/>
      <c r="BF292" s="1708"/>
      <c r="BG292" s="1708"/>
      <c r="BH292" s="1708"/>
      <c r="BI292" s="1708"/>
      <c r="BJ292" s="1708"/>
      <c r="BK292" s="1708"/>
      <c r="BL292" s="1708"/>
      <c r="BM292" s="1708"/>
      <c r="BN292" s="1708"/>
      <c r="BO292" s="1708"/>
      <c r="BP292" s="1708"/>
      <c r="BQ292" s="1708"/>
      <c r="BR292" s="1708"/>
      <c r="BS292" s="1708"/>
      <c r="BT292" s="1708"/>
      <c r="BU292" s="1708"/>
      <c r="BV292" s="1708"/>
      <c r="BW292" s="1708"/>
      <c r="BX292" s="1708"/>
      <c r="BY292" s="1708"/>
      <c r="BZ292" s="1708"/>
      <c r="CA292" s="1708"/>
      <c r="CB292" s="1708"/>
      <c r="CC292" s="1708"/>
      <c r="CD292" s="1708"/>
      <c r="CE292" s="1708"/>
      <c r="CF292" s="1708"/>
      <c r="CG292" s="1708"/>
      <c r="CH292" s="1708"/>
      <c r="CI292" s="1708"/>
      <c r="CJ292" s="1708"/>
      <c r="CK292" s="1708"/>
      <c r="CL292" s="1708"/>
      <c r="CM292" s="1708"/>
      <c r="CN292" s="1708"/>
      <c r="CO292" s="1708"/>
      <c r="CP292" s="1708"/>
      <c r="CQ292" s="1708"/>
      <c r="CR292" s="1708"/>
      <c r="CS292" s="1708"/>
      <c r="CT292" s="1708"/>
      <c r="CU292" s="1708"/>
      <c r="CV292" s="1708"/>
      <c r="CW292" s="1708"/>
      <c r="CX292" s="1708"/>
      <c r="CY292" s="1708"/>
      <c r="CZ292" s="1708"/>
      <c r="DA292" s="1708"/>
      <c r="DB292" s="1708"/>
      <c r="DC292" s="1708"/>
      <c r="DD292" s="1708"/>
      <c r="DE292" s="1708"/>
      <c r="DF292" s="1708"/>
      <c r="DG292" s="1708"/>
      <c r="DH292" s="1708"/>
      <c r="DI292" s="1708"/>
      <c r="DJ292" s="1708"/>
      <c r="DK292" s="1708"/>
      <c r="DL292" s="1708"/>
      <c r="DM292" s="1708"/>
      <c r="DN292" s="1708"/>
      <c r="DO292" s="1708"/>
      <c r="DP292" s="1708"/>
      <c r="DQ292" s="1708"/>
      <c r="DR292" s="1708"/>
      <c r="DS292" s="1708"/>
      <c r="DT292" s="1708"/>
      <c r="DU292" s="1708"/>
      <c r="DV292" s="1708"/>
      <c r="DW292" s="1708"/>
      <c r="DX292" s="1708"/>
      <c r="DY292" s="1708"/>
      <c r="DZ292" s="1708"/>
      <c r="EA292" s="1708"/>
      <c r="EB292" s="1708"/>
      <c r="EC292" s="1708"/>
      <c r="ED292" s="1708"/>
      <c r="EE292" s="1708"/>
      <c r="EF292" s="1708"/>
      <c r="EG292" s="1708"/>
      <c r="EH292" s="1708"/>
      <c r="EI292" s="1708"/>
      <c r="EJ292" s="1708"/>
      <c r="EK292" s="1708"/>
      <c r="EL292" s="1708"/>
      <c r="EM292" s="1708"/>
      <c r="EN292" s="1708"/>
      <c r="EO292" s="1708"/>
      <c r="EP292" s="1708"/>
      <c r="EQ292" s="1708"/>
      <c r="ER292" s="1708"/>
      <c r="ES292" s="1708"/>
      <c r="ET292" s="1708"/>
      <c r="EU292" s="1708"/>
      <c r="EV292" s="1708"/>
      <c r="EW292" s="1708"/>
      <c r="EX292" s="1708"/>
      <c r="EY292" s="1708"/>
      <c r="EZ292" s="1708"/>
      <c r="FA292" s="1708"/>
      <c r="FB292" s="1708"/>
      <c r="FC292" s="1708"/>
      <c r="FD292" s="1708"/>
      <c r="FE292" s="1708"/>
      <c r="FF292" s="1708"/>
      <c r="FG292" s="1708"/>
      <c r="FH292" s="1708"/>
      <c r="FI292" s="1708"/>
      <c r="FJ292" s="1708"/>
      <c r="FK292" s="1708"/>
      <c r="FL292" s="1708"/>
      <c r="FM292" s="1708"/>
      <c r="FN292" s="1708"/>
      <c r="FO292" s="1708"/>
      <c r="FP292" s="1708"/>
      <c r="FQ292" s="1708"/>
      <c r="FR292" s="1708"/>
      <c r="FS292" s="1708"/>
      <c r="FT292" s="1708"/>
      <c r="FU292" s="1708"/>
      <c r="FV292" s="1708"/>
      <c r="FW292" s="1708"/>
      <c r="FX292" s="1708"/>
      <c r="FY292" s="1708"/>
      <c r="FZ292" s="1708"/>
      <c r="GA292" s="1708"/>
      <c r="GB292" s="1708"/>
      <c r="GC292" s="1708"/>
      <c r="GD292" s="1708"/>
      <c r="GE292" s="1708"/>
      <c r="GF292" s="1708"/>
      <c r="GG292" s="1708"/>
      <c r="GH292" s="1708"/>
      <c r="GI292" s="1708"/>
      <c r="GJ292" s="1708"/>
      <c r="GK292" s="1708"/>
      <c r="GL292" s="1708"/>
      <c r="GM292" s="1708"/>
      <c r="GN292" s="1708"/>
      <c r="GO292" s="1708"/>
      <c r="GP292" s="1708"/>
      <c r="GQ292" s="1708"/>
      <c r="GR292" s="1708"/>
      <c r="GS292" s="1708"/>
      <c r="GT292" s="1708"/>
      <c r="GU292" s="1708"/>
      <c r="GV292" s="1708"/>
      <c r="GW292" s="1708"/>
      <c r="GX292" s="1708"/>
      <c r="GY292" s="1708"/>
      <c r="GZ292" s="1708"/>
      <c r="HA292" s="1708"/>
      <c r="HB292" s="1708"/>
      <c r="HC292" s="1708"/>
      <c r="HD292" s="1708"/>
      <c r="HE292" s="1708"/>
      <c r="HF292" s="1708"/>
      <c r="HG292" s="1708"/>
      <c r="HH292" s="1708"/>
      <c r="HI292" s="1708"/>
      <c r="HJ292" s="1708"/>
      <c r="HK292" s="1708"/>
      <c r="HL292" s="1708"/>
      <c r="HM292" s="1708"/>
      <c r="HN292" s="1708"/>
      <c r="HO292" s="1708"/>
      <c r="HP292" s="1708"/>
      <c r="HQ292" s="1708"/>
      <c r="HR292" s="1708"/>
      <c r="HS292" s="1708"/>
      <c r="HT292" s="1708"/>
      <c r="HU292" s="1708"/>
      <c r="HV292" s="1708"/>
      <c r="HW292" s="1708"/>
      <c r="HX292" s="1708"/>
      <c r="HY292" s="1708"/>
      <c r="HZ292" s="1708"/>
      <c r="IA292" s="1708"/>
      <c r="IB292" s="1708"/>
      <c r="IC292" s="1708"/>
      <c r="ID292" s="1708"/>
      <c r="IE292" s="1708"/>
      <c r="IF292" s="1708"/>
      <c r="IG292" s="1708"/>
      <c r="IH292" s="1708"/>
      <c r="II292" s="1708"/>
      <c r="IJ292" s="1708"/>
      <c r="IK292" s="1708"/>
      <c r="IL292" s="1708"/>
      <c r="IM292" s="1708"/>
      <c r="IN292" s="1708"/>
      <c r="IO292" s="1708"/>
      <c r="IP292" s="1708"/>
      <c r="IQ292" s="1708"/>
      <c r="IR292" s="1708"/>
      <c r="IS292" s="1708"/>
      <c r="IT292" s="1708"/>
      <c r="IU292" s="1708"/>
      <c r="IV292" s="1708"/>
    </row>
    <row r="293" spans="2:256" s="57" customFormat="1" x14ac:dyDescent="0.25">
      <c r="B293" s="1836"/>
      <c r="G293" s="1849"/>
      <c r="J293" s="1850"/>
      <c r="K293" s="1850"/>
      <c r="S293" s="1708"/>
      <c r="T293" s="1708"/>
      <c r="U293" s="1708"/>
      <c r="V293" s="1708"/>
      <c r="W293" s="1708"/>
      <c r="X293" s="1708"/>
      <c r="Y293" s="1708"/>
      <c r="Z293" s="1708"/>
      <c r="AA293" s="1708"/>
      <c r="AB293" s="1708"/>
      <c r="AC293" s="1708"/>
      <c r="AD293" s="1708"/>
      <c r="AE293" s="1708"/>
      <c r="AF293" s="1708"/>
      <c r="AG293" s="1708"/>
      <c r="AH293" s="1708"/>
      <c r="AI293" s="1708"/>
      <c r="AJ293" s="1708"/>
      <c r="AK293" s="1708"/>
      <c r="AL293" s="1708"/>
      <c r="AM293" s="1708"/>
      <c r="AN293" s="1708"/>
      <c r="AO293" s="1708"/>
      <c r="AP293" s="1708"/>
      <c r="AQ293" s="1708"/>
      <c r="AR293" s="1708"/>
      <c r="AS293" s="1708"/>
      <c r="AT293" s="1708"/>
      <c r="AU293" s="1708"/>
      <c r="AV293" s="1708"/>
      <c r="AW293" s="1708"/>
      <c r="AX293" s="1708"/>
      <c r="AY293" s="1708"/>
      <c r="AZ293" s="1708"/>
      <c r="BA293" s="1708"/>
      <c r="BB293" s="1708"/>
      <c r="BC293" s="1708"/>
      <c r="BD293" s="1708"/>
      <c r="BE293" s="1708"/>
      <c r="BF293" s="1708"/>
      <c r="BG293" s="1708"/>
      <c r="BH293" s="1708"/>
      <c r="BI293" s="1708"/>
      <c r="BJ293" s="1708"/>
      <c r="BK293" s="1708"/>
      <c r="BL293" s="1708"/>
      <c r="BM293" s="1708"/>
      <c r="BN293" s="1708"/>
      <c r="BO293" s="1708"/>
      <c r="BP293" s="1708"/>
      <c r="BQ293" s="1708"/>
      <c r="BR293" s="1708"/>
      <c r="BS293" s="1708"/>
      <c r="BT293" s="1708"/>
      <c r="BU293" s="1708"/>
      <c r="BV293" s="1708"/>
      <c r="BW293" s="1708"/>
      <c r="BX293" s="1708"/>
      <c r="BY293" s="1708"/>
      <c r="BZ293" s="1708"/>
      <c r="CA293" s="1708"/>
      <c r="CB293" s="1708"/>
      <c r="CC293" s="1708"/>
      <c r="CD293" s="1708"/>
      <c r="CE293" s="1708"/>
      <c r="CF293" s="1708"/>
      <c r="CG293" s="1708"/>
      <c r="CH293" s="1708"/>
      <c r="CI293" s="1708"/>
      <c r="CJ293" s="1708"/>
      <c r="CK293" s="1708"/>
      <c r="CL293" s="1708"/>
      <c r="CM293" s="1708"/>
      <c r="CN293" s="1708"/>
      <c r="CO293" s="1708"/>
      <c r="CP293" s="1708"/>
      <c r="CQ293" s="1708"/>
      <c r="CR293" s="1708"/>
      <c r="CS293" s="1708"/>
      <c r="CT293" s="1708"/>
      <c r="CU293" s="1708"/>
      <c r="CV293" s="1708"/>
      <c r="CW293" s="1708"/>
      <c r="CX293" s="1708"/>
      <c r="CY293" s="1708"/>
      <c r="CZ293" s="1708"/>
      <c r="DA293" s="1708"/>
      <c r="DB293" s="1708"/>
      <c r="DC293" s="1708"/>
      <c r="DD293" s="1708"/>
      <c r="DE293" s="1708"/>
      <c r="DF293" s="1708"/>
      <c r="DG293" s="1708"/>
      <c r="DH293" s="1708"/>
      <c r="DI293" s="1708"/>
      <c r="DJ293" s="1708"/>
      <c r="DK293" s="1708"/>
      <c r="DL293" s="1708"/>
      <c r="DM293" s="1708"/>
      <c r="DN293" s="1708"/>
      <c r="DO293" s="1708"/>
      <c r="DP293" s="1708"/>
      <c r="DQ293" s="1708"/>
      <c r="DR293" s="1708"/>
      <c r="DS293" s="1708"/>
      <c r="DT293" s="1708"/>
      <c r="DU293" s="1708"/>
      <c r="DV293" s="1708"/>
      <c r="DW293" s="1708"/>
      <c r="DX293" s="1708"/>
      <c r="DY293" s="1708"/>
      <c r="DZ293" s="1708"/>
      <c r="EA293" s="1708"/>
      <c r="EB293" s="1708"/>
      <c r="EC293" s="1708"/>
      <c r="ED293" s="1708"/>
      <c r="EE293" s="1708"/>
      <c r="EF293" s="1708"/>
      <c r="EG293" s="1708"/>
      <c r="EH293" s="1708"/>
      <c r="EI293" s="1708"/>
      <c r="EJ293" s="1708"/>
      <c r="EK293" s="1708"/>
      <c r="EL293" s="1708"/>
      <c r="EM293" s="1708"/>
      <c r="EN293" s="1708"/>
      <c r="EO293" s="1708"/>
      <c r="EP293" s="1708"/>
      <c r="EQ293" s="1708"/>
      <c r="ER293" s="1708"/>
      <c r="ES293" s="1708"/>
      <c r="ET293" s="1708"/>
      <c r="EU293" s="1708"/>
      <c r="EV293" s="1708"/>
      <c r="EW293" s="1708"/>
      <c r="EX293" s="1708"/>
      <c r="EY293" s="1708"/>
      <c r="EZ293" s="1708"/>
      <c r="FA293" s="1708"/>
      <c r="FB293" s="1708"/>
      <c r="FC293" s="1708"/>
      <c r="FD293" s="1708"/>
      <c r="FE293" s="1708"/>
      <c r="FF293" s="1708"/>
      <c r="FG293" s="1708"/>
      <c r="FH293" s="1708"/>
      <c r="FI293" s="1708"/>
      <c r="FJ293" s="1708"/>
      <c r="FK293" s="1708"/>
      <c r="FL293" s="1708"/>
      <c r="FM293" s="1708"/>
      <c r="FN293" s="1708"/>
      <c r="FO293" s="1708"/>
      <c r="FP293" s="1708"/>
      <c r="FQ293" s="1708"/>
      <c r="FR293" s="1708"/>
      <c r="FS293" s="1708"/>
      <c r="FT293" s="1708"/>
      <c r="FU293" s="1708"/>
      <c r="FV293" s="1708"/>
      <c r="FW293" s="1708"/>
      <c r="FX293" s="1708"/>
      <c r="FY293" s="1708"/>
      <c r="FZ293" s="1708"/>
      <c r="GA293" s="1708"/>
      <c r="GB293" s="1708"/>
      <c r="GC293" s="1708"/>
      <c r="GD293" s="1708"/>
      <c r="GE293" s="1708"/>
      <c r="GF293" s="1708"/>
      <c r="GG293" s="1708"/>
      <c r="GH293" s="1708"/>
      <c r="GI293" s="1708"/>
      <c r="GJ293" s="1708"/>
      <c r="GK293" s="1708"/>
      <c r="GL293" s="1708"/>
      <c r="GM293" s="1708"/>
      <c r="GN293" s="1708"/>
      <c r="GO293" s="1708"/>
      <c r="GP293" s="1708"/>
      <c r="GQ293" s="1708"/>
      <c r="GR293" s="1708"/>
      <c r="GS293" s="1708"/>
      <c r="GT293" s="1708"/>
      <c r="GU293" s="1708"/>
      <c r="GV293" s="1708"/>
      <c r="GW293" s="1708"/>
      <c r="GX293" s="1708"/>
      <c r="GY293" s="1708"/>
      <c r="GZ293" s="1708"/>
      <c r="HA293" s="1708"/>
      <c r="HB293" s="1708"/>
      <c r="HC293" s="1708"/>
      <c r="HD293" s="1708"/>
      <c r="HE293" s="1708"/>
      <c r="HF293" s="1708"/>
      <c r="HG293" s="1708"/>
      <c r="HH293" s="1708"/>
      <c r="HI293" s="1708"/>
      <c r="HJ293" s="1708"/>
      <c r="HK293" s="1708"/>
      <c r="HL293" s="1708"/>
      <c r="HM293" s="1708"/>
      <c r="HN293" s="1708"/>
      <c r="HO293" s="1708"/>
      <c r="HP293" s="1708"/>
      <c r="HQ293" s="1708"/>
      <c r="HR293" s="1708"/>
      <c r="HS293" s="1708"/>
      <c r="HT293" s="1708"/>
      <c r="HU293" s="1708"/>
      <c r="HV293" s="1708"/>
      <c r="HW293" s="1708"/>
      <c r="HX293" s="1708"/>
      <c r="HY293" s="1708"/>
      <c r="HZ293" s="1708"/>
      <c r="IA293" s="1708"/>
      <c r="IB293" s="1708"/>
      <c r="IC293" s="1708"/>
      <c r="ID293" s="1708"/>
      <c r="IE293" s="1708"/>
      <c r="IF293" s="1708"/>
      <c r="IG293" s="1708"/>
      <c r="IH293" s="1708"/>
      <c r="II293" s="1708"/>
      <c r="IJ293" s="1708"/>
      <c r="IK293" s="1708"/>
      <c r="IL293" s="1708"/>
      <c r="IM293" s="1708"/>
      <c r="IN293" s="1708"/>
      <c r="IO293" s="1708"/>
      <c r="IP293" s="1708"/>
      <c r="IQ293" s="1708"/>
      <c r="IR293" s="1708"/>
      <c r="IS293" s="1708"/>
      <c r="IT293" s="1708"/>
      <c r="IU293" s="1708"/>
      <c r="IV293" s="1708"/>
    </row>
    <row r="294" spans="2:256" s="57" customFormat="1" x14ac:dyDescent="0.25">
      <c r="B294" s="1836"/>
      <c r="G294" s="1849"/>
      <c r="J294" s="1850"/>
      <c r="K294" s="1850"/>
      <c r="S294" s="1708"/>
      <c r="T294" s="1708"/>
      <c r="U294" s="1708"/>
      <c r="V294" s="1708"/>
      <c r="W294" s="1708"/>
      <c r="X294" s="1708"/>
      <c r="Y294" s="1708"/>
      <c r="Z294" s="1708"/>
      <c r="AA294" s="1708"/>
      <c r="AB294" s="1708"/>
      <c r="AC294" s="1708"/>
      <c r="AD294" s="1708"/>
      <c r="AE294" s="1708"/>
      <c r="AF294" s="1708"/>
      <c r="AG294" s="1708"/>
      <c r="AH294" s="1708"/>
      <c r="AI294" s="1708"/>
      <c r="AJ294" s="1708"/>
      <c r="AK294" s="1708"/>
      <c r="AL294" s="1708"/>
      <c r="AM294" s="1708"/>
      <c r="AN294" s="1708"/>
      <c r="AO294" s="1708"/>
      <c r="AP294" s="1708"/>
      <c r="AQ294" s="1708"/>
      <c r="AR294" s="1708"/>
      <c r="AS294" s="1708"/>
      <c r="AT294" s="1708"/>
      <c r="AU294" s="1708"/>
      <c r="AV294" s="1708"/>
      <c r="AW294" s="1708"/>
      <c r="AX294" s="1708"/>
      <c r="AY294" s="1708"/>
      <c r="AZ294" s="1708"/>
      <c r="BA294" s="1708"/>
      <c r="BB294" s="1708"/>
      <c r="BC294" s="1708"/>
      <c r="BD294" s="1708"/>
      <c r="BE294" s="1708"/>
      <c r="BF294" s="1708"/>
      <c r="BG294" s="1708"/>
      <c r="BH294" s="1708"/>
      <c r="BI294" s="1708"/>
      <c r="BJ294" s="1708"/>
      <c r="BK294" s="1708"/>
      <c r="BL294" s="1708"/>
      <c r="BM294" s="1708"/>
      <c r="BN294" s="1708"/>
      <c r="BO294" s="1708"/>
      <c r="BP294" s="1708"/>
      <c r="BQ294" s="1708"/>
      <c r="BR294" s="1708"/>
      <c r="BS294" s="1708"/>
      <c r="BT294" s="1708"/>
      <c r="BU294" s="1708"/>
      <c r="BV294" s="1708"/>
      <c r="BW294" s="1708"/>
      <c r="BX294" s="1708"/>
      <c r="BY294" s="1708"/>
      <c r="BZ294" s="1708"/>
      <c r="CA294" s="1708"/>
      <c r="CB294" s="1708"/>
      <c r="CC294" s="1708"/>
      <c r="CD294" s="1708"/>
      <c r="CE294" s="1708"/>
      <c r="CF294" s="1708"/>
      <c r="CG294" s="1708"/>
      <c r="CH294" s="1708"/>
      <c r="CI294" s="1708"/>
      <c r="CJ294" s="1708"/>
      <c r="CK294" s="1708"/>
      <c r="CL294" s="1708"/>
      <c r="CM294" s="1708"/>
      <c r="CN294" s="1708"/>
      <c r="CO294" s="1708"/>
      <c r="CP294" s="1708"/>
      <c r="CQ294" s="1708"/>
      <c r="CR294" s="1708"/>
      <c r="CS294" s="1708"/>
      <c r="CT294" s="1708"/>
      <c r="CU294" s="1708"/>
      <c r="CV294" s="1708"/>
      <c r="CW294" s="1708"/>
      <c r="CX294" s="1708"/>
      <c r="CY294" s="1708"/>
      <c r="CZ294" s="1708"/>
      <c r="DA294" s="1708"/>
      <c r="DB294" s="1708"/>
      <c r="DC294" s="1708"/>
      <c r="DD294" s="1708"/>
      <c r="DE294" s="1708"/>
      <c r="DF294" s="1708"/>
      <c r="DG294" s="1708"/>
      <c r="DH294" s="1708"/>
      <c r="DI294" s="1708"/>
      <c r="DJ294" s="1708"/>
      <c r="DK294" s="1708"/>
      <c r="DL294" s="1708"/>
      <c r="DM294" s="1708"/>
      <c r="DN294" s="1708"/>
      <c r="DO294" s="1708"/>
      <c r="DP294" s="1708"/>
      <c r="DQ294" s="1708"/>
      <c r="DR294" s="1708"/>
      <c r="DS294" s="1708"/>
      <c r="DT294" s="1708"/>
      <c r="DU294" s="1708"/>
      <c r="DV294" s="1708"/>
      <c r="DW294" s="1708"/>
      <c r="DX294" s="1708"/>
      <c r="DY294" s="1708"/>
      <c r="DZ294" s="1708"/>
      <c r="EA294" s="1708"/>
      <c r="EB294" s="1708"/>
      <c r="EC294" s="1708"/>
      <c r="ED294" s="1708"/>
      <c r="EE294" s="1708"/>
      <c r="EF294" s="1708"/>
      <c r="EG294" s="1708"/>
      <c r="EH294" s="1708"/>
      <c r="EI294" s="1708"/>
      <c r="EJ294" s="1708"/>
      <c r="EK294" s="1708"/>
      <c r="EL294" s="1708"/>
      <c r="EM294" s="1708"/>
      <c r="EN294" s="1708"/>
      <c r="EO294" s="1708"/>
      <c r="EP294" s="1708"/>
      <c r="EQ294" s="1708"/>
      <c r="ER294" s="1708"/>
      <c r="ES294" s="1708"/>
      <c r="ET294" s="1708"/>
      <c r="EU294" s="1708"/>
      <c r="EV294" s="1708"/>
      <c r="EW294" s="1708"/>
      <c r="EX294" s="1708"/>
      <c r="EY294" s="1708"/>
      <c r="EZ294" s="1708"/>
      <c r="FA294" s="1708"/>
      <c r="FB294" s="1708"/>
      <c r="FC294" s="1708"/>
      <c r="FD294" s="1708"/>
      <c r="FE294" s="1708"/>
      <c r="FF294" s="1708"/>
      <c r="FG294" s="1708"/>
      <c r="FH294" s="1708"/>
      <c r="FI294" s="1708"/>
      <c r="FJ294" s="1708"/>
      <c r="FK294" s="1708"/>
      <c r="FL294" s="1708"/>
      <c r="FM294" s="1708"/>
      <c r="FN294" s="1708"/>
      <c r="FO294" s="1708"/>
      <c r="FP294" s="1708"/>
      <c r="FQ294" s="1708"/>
      <c r="FR294" s="1708"/>
      <c r="FS294" s="1708"/>
      <c r="FT294" s="1708"/>
      <c r="FU294" s="1708"/>
      <c r="FV294" s="1708"/>
      <c r="FW294" s="1708"/>
      <c r="FX294" s="1708"/>
      <c r="FY294" s="1708"/>
      <c r="FZ294" s="1708"/>
      <c r="GA294" s="1708"/>
      <c r="GB294" s="1708"/>
      <c r="GC294" s="1708"/>
      <c r="GD294" s="1708"/>
      <c r="GE294" s="1708"/>
      <c r="GF294" s="1708"/>
      <c r="GG294" s="1708"/>
      <c r="GH294" s="1708"/>
      <c r="GI294" s="1708"/>
      <c r="GJ294" s="1708"/>
      <c r="GK294" s="1708"/>
      <c r="GL294" s="1708"/>
      <c r="GM294" s="1708"/>
      <c r="GN294" s="1708"/>
      <c r="GO294" s="1708"/>
      <c r="GP294" s="1708"/>
      <c r="GQ294" s="1708"/>
      <c r="GR294" s="1708"/>
      <c r="GS294" s="1708"/>
      <c r="GT294" s="1708"/>
      <c r="GU294" s="1708"/>
      <c r="GV294" s="1708"/>
      <c r="GW294" s="1708"/>
      <c r="GX294" s="1708"/>
      <c r="GY294" s="1708"/>
      <c r="GZ294" s="1708"/>
      <c r="HA294" s="1708"/>
      <c r="HB294" s="1708"/>
      <c r="HC294" s="1708"/>
      <c r="HD294" s="1708"/>
      <c r="HE294" s="1708"/>
      <c r="HF294" s="1708"/>
      <c r="HG294" s="1708"/>
      <c r="HH294" s="1708"/>
      <c r="HI294" s="1708"/>
      <c r="HJ294" s="1708"/>
      <c r="HK294" s="1708"/>
      <c r="HL294" s="1708"/>
      <c r="HM294" s="1708"/>
      <c r="HN294" s="1708"/>
      <c r="HO294" s="1708"/>
      <c r="HP294" s="1708"/>
      <c r="HQ294" s="1708"/>
      <c r="HR294" s="1708"/>
      <c r="HS294" s="1708"/>
      <c r="HT294" s="1708"/>
      <c r="HU294" s="1708"/>
      <c r="HV294" s="1708"/>
      <c r="HW294" s="1708"/>
      <c r="HX294" s="1708"/>
      <c r="HY294" s="1708"/>
      <c r="HZ294" s="1708"/>
      <c r="IA294" s="1708"/>
      <c r="IB294" s="1708"/>
      <c r="IC294" s="1708"/>
      <c r="ID294" s="1708"/>
      <c r="IE294" s="1708"/>
      <c r="IF294" s="1708"/>
      <c r="IG294" s="1708"/>
      <c r="IH294" s="1708"/>
      <c r="II294" s="1708"/>
      <c r="IJ294" s="1708"/>
      <c r="IK294" s="1708"/>
      <c r="IL294" s="1708"/>
      <c r="IM294" s="1708"/>
      <c r="IN294" s="1708"/>
      <c r="IO294" s="1708"/>
      <c r="IP294" s="1708"/>
      <c r="IQ294" s="1708"/>
      <c r="IR294" s="1708"/>
      <c r="IS294" s="1708"/>
      <c r="IT294" s="1708"/>
      <c r="IU294" s="1708"/>
      <c r="IV294" s="1708"/>
    </row>
    <row r="295" spans="2:256" s="57" customFormat="1" x14ac:dyDescent="0.25">
      <c r="B295" s="1836"/>
      <c r="G295" s="1849"/>
      <c r="J295" s="1850"/>
      <c r="K295" s="1850"/>
      <c r="S295" s="1708"/>
      <c r="T295" s="1708"/>
      <c r="U295" s="1708"/>
      <c r="V295" s="1708"/>
      <c r="W295" s="1708"/>
      <c r="X295" s="1708"/>
      <c r="Y295" s="1708"/>
      <c r="Z295" s="1708"/>
      <c r="AA295" s="1708"/>
      <c r="AB295" s="1708"/>
      <c r="AC295" s="1708"/>
      <c r="AD295" s="1708"/>
      <c r="AE295" s="1708"/>
      <c r="AF295" s="1708"/>
      <c r="AG295" s="1708"/>
      <c r="AH295" s="1708"/>
      <c r="AI295" s="1708"/>
      <c r="AJ295" s="1708"/>
      <c r="AK295" s="1708"/>
      <c r="AL295" s="1708"/>
      <c r="AM295" s="1708"/>
      <c r="AN295" s="1708"/>
      <c r="AO295" s="1708"/>
      <c r="AP295" s="1708"/>
      <c r="AQ295" s="1708"/>
      <c r="AR295" s="1708"/>
      <c r="AS295" s="1708"/>
      <c r="AT295" s="1708"/>
      <c r="AU295" s="1708"/>
      <c r="AV295" s="1708"/>
      <c r="AW295" s="1708"/>
      <c r="AX295" s="1708"/>
      <c r="AY295" s="1708"/>
      <c r="AZ295" s="1708"/>
      <c r="BA295" s="1708"/>
      <c r="BB295" s="1708"/>
      <c r="BC295" s="1708"/>
      <c r="BD295" s="1708"/>
      <c r="BE295" s="1708"/>
      <c r="BF295" s="1708"/>
      <c r="BG295" s="1708"/>
      <c r="BH295" s="1708"/>
      <c r="BI295" s="1708"/>
      <c r="BJ295" s="1708"/>
      <c r="BK295" s="1708"/>
      <c r="BL295" s="1708"/>
      <c r="BM295" s="1708"/>
      <c r="BN295" s="1708"/>
      <c r="BO295" s="1708"/>
      <c r="BP295" s="1708"/>
      <c r="BQ295" s="1708"/>
      <c r="BR295" s="1708"/>
      <c r="BS295" s="1708"/>
      <c r="BT295" s="1708"/>
      <c r="BU295" s="1708"/>
      <c r="BV295" s="1708"/>
      <c r="BW295" s="1708"/>
      <c r="BX295" s="1708"/>
      <c r="BY295" s="1708"/>
      <c r="BZ295" s="1708"/>
      <c r="CA295" s="1708"/>
      <c r="CB295" s="1708"/>
      <c r="CC295" s="1708"/>
      <c r="CD295" s="1708"/>
      <c r="CE295" s="1708"/>
      <c r="CF295" s="1708"/>
      <c r="CG295" s="1708"/>
      <c r="CH295" s="1708"/>
      <c r="CI295" s="1708"/>
      <c r="CJ295" s="1708"/>
      <c r="CK295" s="1708"/>
      <c r="CL295" s="1708"/>
      <c r="CM295" s="1708"/>
      <c r="CN295" s="1708"/>
      <c r="CO295" s="1708"/>
      <c r="CP295" s="1708"/>
      <c r="CQ295" s="1708"/>
      <c r="CR295" s="1708"/>
      <c r="CS295" s="1708"/>
      <c r="CT295" s="1708"/>
      <c r="CU295" s="1708"/>
      <c r="CV295" s="1708"/>
      <c r="CW295" s="1708"/>
      <c r="CX295" s="1708"/>
      <c r="CY295" s="1708"/>
      <c r="CZ295" s="1708"/>
      <c r="DA295" s="1708"/>
      <c r="DB295" s="1708"/>
      <c r="DC295" s="1708"/>
      <c r="DD295" s="1708"/>
      <c r="DE295" s="1708"/>
      <c r="DF295" s="1708"/>
      <c r="DG295" s="1708"/>
      <c r="DH295" s="1708"/>
      <c r="DI295" s="1708"/>
      <c r="DJ295" s="1708"/>
      <c r="DK295" s="1708"/>
      <c r="DL295" s="1708"/>
      <c r="DM295" s="1708"/>
      <c r="DN295" s="1708"/>
      <c r="DO295" s="1708"/>
      <c r="DP295" s="1708"/>
      <c r="DQ295" s="1708"/>
      <c r="DR295" s="1708"/>
      <c r="DS295" s="1708"/>
      <c r="DT295" s="1708"/>
      <c r="DU295" s="1708"/>
      <c r="DV295" s="1708"/>
      <c r="DW295" s="1708"/>
      <c r="DX295" s="1708"/>
      <c r="DY295" s="1708"/>
      <c r="DZ295" s="1708"/>
      <c r="EA295" s="1708"/>
      <c r="EB295" s="1708"/>
      <c r="EC295" s="1708"/>
      <c r="ED295" s="1708"/>
      <c r="EE295" s="1708"/>
      <c r="EF295" s="1708"/>
      <c r="EG295" s="1708"/>
      <c r="EH295" s="1708"/>
      <c r="EI295" s="1708"/>
      <c r="EJ295" s="1708"/>
      <c r="EK295" s="1708"/>
      <c r="EL295" s="1708"/>
      <c r="EM295" s="1708"/>
      <c r="EN295" s="1708"/>
      <c r="EO295" s="1708"/>
      <c r="EP295" s="1708"/>
      <c r="EQ295" s="1708"/>
      <c r="ER295" s="1708"/>
      <c r="ES295" s="1708"/>
      <c r="ET295" s="1708"/>
      <c r="EU295" s="1708"/>
      <c r="EV295" s="1708"/>
      <c r="EW295" s="1708"/>
      <c r="EX295" s="1708"/>
      <c r="EY295" s="1708"/>
      <c r="EZ295" s="1708"/>
      <c r="FA295" s="1708"/>
      <c r="FB295" s="1708"/>
      <c r="FC295" s="1708"/>
      <c r="FD295" s="1708"/>
      <c r="FE295" s="1708"/>
      <c r="FF295" s="1708"/>
      <c r="FG295" s="1708"/>
      <c r="FH295" s="1708"/>
      <c r="FI295" s="1708"/>
      <c r="FJ295" s="1708"/>
      <c r="FK295" s="1708"/>
      <c r="FL295" s="1708"/>
      <c r="FM295" s="1708"/>
      <c r="FN295" s="1708"/>
      <c r="FO295" s="1708"/>
      <c r="FP295" s="1708"/>
      <c r="FQ295" s="1708"/>
      <c r="FR295" s="1708"/>
      <c r="FS295" s="1708"/>
      <c r="FT295" s="1708"/>
      <c r="FU295" s="1708"/>
      <c r="FV295" s="1708"/>
      <c r="FW295" s="1708"/>
      <c r="FX295" s="1708"/>
      <c r="FY295" s="1708"/>
      <c r="FZ295" s="1708"/>
      <c r="GA295" s="1708"/>
      <c r="GB295" s="1708"/>
      <c r="GC295" s="1708"/>
      <c r="GD295" s="1708"/>
      <c r="GE295" s="1708"/>
      <c r="GF295" s="1708"/>
      <c r="GG295" s="1708"/>
      <c r="GH295" s="1708"/>
      <c r="GI295" s="1708"/>
      <c r="GJ295" s="1708"/>
      <c r="GK295" s="1708"/>
      <c r="GL295" s="1708"/>
      <c r="GM295" s="1708"/>
      <c r="GN295" s="1708"/>
      <c r="GO295" s="1708"/>
      <c r="GP295" s="1708"/>
      <c r="GQ295" s="1708"/>
      <c r="GR295" s="1708"/>
      <c r="GS295" s="1708"/>
      <c r="GT295" s="1708"/>
      <c r="GU295" s="1708"/>
      <c r="GV295" s="1708"/>
      <c r="GW295" s="1708"/>
      <c r="GX295" s="1708"/>
      <c r="GY295" s="1708"/>
      <c r="GZ295" s="1708"/>
      <c r="HA295" s="1708"/>
      <c r="HB295" s="1708"/>
      <c r="HC295" s="1708"/>
      <c r="HD295" s="1708"/>
      <c r="HE295" s="1708"/>
      <c r="HF295" s="1708"/>
      <c r="HG295" s="1708"/>
      <c r="HH295" s="1708"/>
      <c r="HI295" s="1708"/>
      <c r="HJ295" s="1708"/>
      <c r="HK295" s="1708"/>
      <c r="HL295" s="1708"/>
      <c r="HM295" s="1708"/>
      <c r="HN295" s="1708"/>
      <c r="HO295" s="1708"/>
      <c r="HP295" s="1708"/>
      <c r="HQ295" s="1708"/>
      <c r="HR295" s="1708"/>
      <c r="HS295" s="1708"/>
      <c r="HT295" s="1708"/>
      <c r="HU295" s="1708"/>
      <c r="HV295" s="1708"/>
      <c r="HW295" s="1708"/>
      <c r="HX295" s="1708"/>
      <c r="HY295" s="1708"/>
      <c r="HZ295" s="1708"/>
      <c r="IA295" s="1708"/>
      <c r="IB295" s="1708"/>
      <c r="IC295" s="1708"/>
      <c r="ID295" s="1708"/>
      <c r="IE295" s="1708"/>
      <c r="IF295" s="1708"/>
      <c r="IG295" s="1708"/>
      <c r="IH295" s="1708"/>
      <c r="II295" s="1708"/>
      <c r="IJ295" s="1708"/>
      <c r="IK295" s="1708"/>
      <c r="IL295" s="1708"/>
      <c r="IM295" s="1708"/>
      <c r="IN295" s="1708"/>
      <c r="IO295" s="1708"/>
      <c r="IP295" s="1708"/>
      <c r="IQ295" s="1708"/>
      <c r="IR295" s="1708"/>
      <c r="IS295" s="1708"/>
      <c r="IT295" s="1708"/>
      <c r="IU295" s="1708"/>
      <c r="IV295" s="1708"/>
    </row>
    <row r="296" spans="2:256" s="57" customFormat="1" x14ac:dyDescent="0.25">
      <c r="B296" s="1836"/>
      <c r="G296" s="1849"/>
      <c r="J296" s="1850"/>
      <c r="K296" s="1850"/>
      <c r="S296" s="1708"/>
      <c r="T296" s="1708"/>
      <c r="U296" s="1708"/>
      <c r="V296" s="1708"/>
      <c r="W296" s="1708"/>
      <c r="X296" s="1708"/>
      <c r="Y296" s="1708"/>
      <c r="Z296" s="1708"/>
      <c r="AA296" s="1708"/>
      <c r="AB296" s="1708"/>
      <c r="AC296" s="1708"/>
      <c r="AD296" s="1708"/>
      <c r="AE296" s="1708"/>
      <c r="AF296" s="1708"/>
      <c r="AG296" s="1708"/>
      <c r="AH296" s="1708"/>
      <c r="AI296" s="1708"/>
      <c r="AJ296" s="1708"/>
      <c r="AK296" s="1708"/>
      <c r="AL296" s="1708"/>
      <c r="AM296" s="1708"/>
      <c r="AN296" s="1708"/>
      <c r="AO296" s="1708"/>
      <c r="AP296" s="1708"/>
      <c r="AQ296" s="1708"/>
      <c r="AR296" s="1708"/>
      <c r="AS296" s="1708"/>
      <c r="AT296" s="1708"/>
      <c r="AU296" s="1708"/>
      <c r="AV296" s="1708"/>
      <c r="AW296" s="1708"/>
      <c r="AX296" s="1708"/>
      <c r="AY296" s="1708"/>
      <c r="AZ296" s="1708"/>
      <c r="BA296" s="1708"/>
      <c r="BB296" s="1708"/>
      <c r="BC296" s="1708"/>
      <c r="BD296" s="1708"/>
      <c r="BE296" s="1708"/>
      <c r="BF296" s="1708"/>
      <c r="BG296" s="1708"/>
      <c r="BH296" s="1708"/>
      <c r="BI296" s="1708"/>
      <c r="BJ296" s="1708"/>
      <c r="BK296" s="1708"/>
      <c r="BL296" s="1708"/>
      <c r="BM296" s="1708"/>
      <c r="BN296" s="1708"/>
      <c r="BO296" s="1708"/>
      <c r="BP296" s="1708"/>
      <c r="BQ296" s="1708"/>
      <c r="BR296" s="1708"/>
      <c r="BS296" s="1708"/>
      <c r="BT296" s="1708"/>
      <c r="BU296" s="1708"/>
      <c r="BV296" s="1708"/>
      <c r="BW296" s="1708"/>
      <c r="BX296" s="1708"/>
      <c r="BY296" s="1708"/>
      <c r="BZ296" s="1708"/>
      <c r="CA296" s="1708"/>
      <c r="CB296" s="1708"/>
      <c r="CC296" s="1708"/>
      <c r="CD296" s="1708"/>
      <c r="CE296" s="1708"/>
      <c r="CF296" s="1708"/>
      <c r="CG296" s="1708"/>
      <c r="CH296" s="1708"/>
      <c r="CI296" s="1708"/>
      <c r="CJ296" s="1708"/>
      <c r="CK296" s="1708"/>
      <c r="CL296" s="1708"/>
      <c r="CM296" s="1708"/>
      <c r="CN296" s="1708"/>
      <c r="CO296" s="1708"/>
      <c r="CP296" s="1708"/>
      <c r="CQ296" s="1708"/>
      <c r="CR296" s="1708"/>
      <c r="CS296" s="1708"/>
      <c r="CT296" s="1708"/>
      <c r="CU296" s="1708"/>
      <c r="CV296" s="1708"/>
      <c r="CW296" s="1708"/>
      <c r="CX296" s="1708"/>
      <c r="CY296" s="1708"/>
      <c r="CZ296" s="1708"/>
      <c r="DA296" s="1708"/>
      <c r="DB296" s="1708"/>
      <c r="DC296" s="1708"/>
      <c r="DD296" s="1708"/>
      <c r="DE296" s="1708"/>
      <c r="DF296" s="1708"/>
      <c r="DG296" s="1708"/>
      <c r="DH296" s="1708"/>
      <c r="DI296" s="1708"/>
      <c r="DJ296" s="1708"/>
      <c r="DK296" s="1708"/>
      <c r="DL296" s="1708"/>
      <c r="DM296" s="1708"/>
      <c r="DN296" s="1708"/>
      <c r="DO296" s="1708"/>
      <c r="DP296" s="1708"/>
      <c r="DQ296" s="1708"/>
      <c r="DR296" s="1708"/>
      <c r="DS296" s="1708"/>
      <c r="DT296" s="1708"/>
      <c r="DU296" s="1708"/>
      <c r="DV296" s="1708"/>
      <c r="DW296" s="1708"/>
      <c r="DX296" s="1708"/>
      <c r="DY296" s="1708"/>
      <c r="DZ296" s="1708"/>
      <c r="EA296" s="1708"/>
      <c r="EB296" s="1708"/>
      <c r="EC296" s="1708"/>
      <c r="ED296" s="1708"/>
      <c r="EE296" s="1708"/>
      <c r="EF296" s="1708"/>
      <c r="EG296" s="1708"/>
      <c r="EH296" s="1708"/>
      <c r="EI296" s="1708"/>
      <c r="EJ296" s="1708"/>
      <c r="EK296" s="1708"/>
      <c r="EL296" s="1708"/>
      <c r="EM296" s="1708"/>
      <c r="EN296" s="1708"/>
      <c r="EO296" s="1708"/>
      <c r="EP296" s="1708"/>
      <c r="EQ296" s="1708"/>
      <c r="ER296" s="1708"/>
      <c r="ES296" s="1708"/>
      <c r="ET296" s="1708"/>
      <c r="EU296" s="1708"/>
      <c r="EV296" s="1708"/>
      <c r="EW296" s="1708"/>
      <c r="EX296" s="1708"/>
      <c r="EY296" s="1708"/>
      <c r="EZ296" s="1708"/>
      <c r="FA296" s="1708"/>
      <c r="FB296" s="1708"/>
      <c r="FC296" s="1708"/>
      <c r="FD296" s="1708"/>
      <c r="FE296" s="1708"/>
      <c r="FF296" s="1708"/>
      <c r="FG296" s="1708"/>
      <c r="FH296" s="1708"/>
      <c r="FI296" s="1708"/>
      <c r="FJ296" s="1708"/>
      <c r="FK296" s="1708"/>
      <c r="FL296" s="1708"/>
      <c r="FM296" s="1708"/>
      <c r="FN296" s="1708"/>
      <c r="FO296" s="1708"/>
      <c r="FP296" s="1708"/>
      <c r="FQ296" s="1708"/>
      <c r="FR296" s="1708"/>
      <c r="FS296" s="1708"/>
      <c r="FT296" s="1708"/>
      <c r="FU296" s="1708"/>
      <c r="FV296" s="1708"/>
      <c r="FW296" s="1708"/>
      <c r="FX296" s="1708"/>
      <c r="FY296" s="1708"/>
      <c r="FZ296" s="1708"/>
      <c r="GA296" s="1708"/>
      <c r="GB296" s="1708"/>
      <c r="GC296" s="1708"/>
      <c r="GD296" s="1708"/>
      <c r="GE296" s="1708"/>
      <c r="GF296" s="1708"/>
      <c r="GG296" s="1708"/>
      <c r="GH296" s="1708"/>
      <c r="GI296" s="1708"/>
      <c r="GJ296" s="1708"/>
      <c r="GK296" s="1708"/>
      <c r="GL296" s="1708"/>
      <c r="GM296" s="1708"/>
      <c r="GN296" s="1708"/>
      <c r="GO296" s="1708"/>
      <c r="GP296" s="1708"/>
      <c r="GQ296" s="1708"/>
      <c r="GR296" s="1708"/>
      <c r="GS296" s="1708"/>
      <c r="GT296" s="1708"/>
      <c r="GU296" s="1708"/>
      <c r="GV296" s="1708"/>
      <c r="GW296" s="1708"/>
      <c r="GX296" s="1708"/>
      <c r="GY296" s="1708"/>
      <c r="GZ296" s="1708"/>
      <c r="HA296" s="1708"/>
      <c r="HB296" s="1708"/>
      <c r="HC296" s="1708"/>
      <c r="HD296" s="1708"/>
      <c r="HE296" s="1708"/>
      <c r="HF296" s="1708"/>
      <c r="HG296" s="1708"/>
      <c r="HH296" s="1708"/>
      <c r="HI296" s="1708"/>
      <c r="HJ296" s="1708"/>
      <c r="HK296" s="1708"/>
      <c r="HL296" s="1708"/>
      <c r="HM296" s="1708"/>
      <c r="HN296" s="1708"/>
      <c r="HO296" s="1708"/>
      <c r="HP296" s="1708"/>
      <c r="HQ296" s="1708"/>
      <c r="HR296" s="1708"/>
      <c r="HS296" s="1708"/>
      <c r="HT296" s="1708"/>
      <c r="HU296" s="1708"/>
      <c r="HV296" s="1708"/>
      <c r="HW296" s="1708"/>
      <c r="HX296" s="1708"/>
      <c r="HY296" s="1708"/>
      <c r="HZ296" s="1708"/>
      <c r="IA296" s="1708"/>
      <c r="IB296" s="1708"/>
      <c r="IC296" s="1708"/>
      <c r="ID296" s="1708"/>
      <c r="IE296" s="1708"/>
      <c r="IF296" s="1708"/>
      <c r="IG296" s="1708"/>
      <c r="IH296" s="1708"/>
      <c r="II296" s="1708"/>
      <c r="IJ296" s="1708"/>
      <c r="IK296" s="1708"/>
      <c r="IL296" s="1708"/>
      <c r="IM296" s="1708"/>
      <c r="IN296" s="1708"/>
      <c r="IO296" s="1708"/>
      <c r="IP296" s="1708"/>
      <c r="IQ296" s="1708"/>
      <c r="IR296" s="1708"/>
      <c r="IS296" s="1708"/>
      <c r="IT296" s="1708"/>
      <c r="IU296" s="1708"/>
      <c r="IV296" s="1708"/>
    </row>
    <row r="297" spans="2:256" s="57" customFormat="1" x14ac:dyDescent="0.25">
      <c r="B297" s="1836"/>
      <c r="G297" s="1849"/>
      <c r="J297" s="1850"/>
      <c r="K297" s="1850"/>
      <c r="S297" s="1708"/>
      <c r="T297" s="1708"/>
      <c r="U297" s="1708"/>
      <c r="V297" s="1708"/>
      <c r="W297" s="1708"/>
      <c r="X297" s="1708"/>
      <c r="Y297" s="1708"/>
      <c r="Z297" s="1708"/>
      <c r="AA297" s="1708"/>
      <c r="AB297" s="1708"/>
      <c r="AC297" s="1708"/>
      <c r="AD297" s="1708"/>
      <c r="AE297" s="1708"/>
      <c r="AF297" s="1708"/>
      <c r="AG297" s="1708"/>
      <c r="AH297" s="1708"/>
      <c r="AI297" s="1708"/>
      <c r="AJ297" s="1708"/>
      <c r="AK297" s="1708"/>
      <c r="AL297" s="1708"/>
      <c r="AM297" s="1708"/>
      <c r="AN297" s="1708"/>
      <c r="AO297" s="1708"/>
      <c r="AP297" s="1708"/>
      <c r="AQ297" s="1708"/>
      <c r="AR297" s="1708"/>
      <c r="AS297" s="1708"/>
      <c r="AT297" s="1708"/>
      <c r="AU297" s="1708"/>
      <c r="AV297" s="1708"/>
      <c r="AW297" s="1708"/>
      <c r="AX297" s="1708"/>
      <c r="AY297" s="1708"/>
      <c r="AZ297" s="1708"/>
      <c r="BA297" s="1708"/>
      <c r="BB297" s="1708"/>
      <c r="BC297" s="1708"/>
      <c r="BD297" s="1708"/>
      <c r="BE297" s="1708"/>
      <c r="BF297" s="1708"/>
      <c r="BG297" s="1708"/>
      <c r="BH297" s="1708"/>
      <c r="BI297" s="1708"/>
      <c r="BJ297" s="1708"/>
      <c r="BK297" s="1708"/>
      <c r="BL297" s="1708"/>
      <c r="BM297" s="1708"/>
      <c r="BN297" s="1708"/>
      <c r="BO297" s="1708"/>
      <c r="BP297" s="1708"/>
      <c r="BQ297" s="1708"/>
      <c r="BR297" s="1708"/>
      <c r="BS297" s="1708"/>
      <c r="BT297" s="1708"/>
      <c r="BU297" s="1708"/>
      <c r="BV297" s="1708"/>
      <c r="BW297" s="1708"/>
      <c r="BX297" s="1708"/>
      <c r="BY297" s="1708"/>
      <c r="BZ297" s="1708"/>
      <c r="CA297" s="1708"/>
      <c r="CB297" s="1708"/>
      <c r="CC297" s="1708"/>
      <c r="CD297" s="1708"/>
      <c r="CE297" s="1708"/>
      <c r="CF297" s="1708"/>
      <c r="CG297" s="1708"/>
      <c r="CH297" s="1708"/>
      <c r="CI297" s="1708"/>
      <c r="CJ297" s="1708"/>
      <c r="CK297" s="1708"/>
      <c r="CL297" s="1708"/>
      <c r="CM297" s="1708"/>
      <c r="CN297" s="1708"/>
      <c r="CO297" s="1708"/>
      <c r="CP297" s="1708"/>
      <c r="CQ297" s="1708"/>
      <c r="CR297" s="1708"/>
      <c r="CS297" s="1708"/>
      <c r="CT297" s="1708"/>
      <c r="CU297" s="1708"/>
      <c r="CV297" s="1708"/>
      <c r="CW297" s="1708"/>
      <c r="CX297" s="1708"/>
      <c r="CY297" s="1708"/>
      <c r="CZ297" s="1708"/>
      <c r="DA297" s="1708"/>
      <c r="DB297" s="1708"/>
      <c r="DC297" s="1708"/>
      <c r="DD297" s="1708"/>
      <c r="DE297" s="1708"/>
      <c r="DF297" s="1708"/>
      <c r="DG297" s="1708"/>
      <c r="DH297" s="1708"/>
      <c r="DI297" s="1708"/>
      <c r="DJ297" s="1708"/>
      <c r="DK297" s="1708"/>
      <c r="DL297" s="1708"/>
      <c r="DM297" s="1708"/>
      <c r="DN297" s="1708"/>
      <c r="DO297" s="1708"/>
      <c r="DP297" s="1708"/>
      <c r="DQ297" s="1708"/>
      <c r="DR297" s="1708"/>
      <c r="DS297" s="1708"/>
      <c r="DT297" s="1708"/>
      <c r="DU297" s="1708"/>
      <c r="DV297" s="1708"/>
      <c r="DW297" s="1708"/>
      <c r="DX297" s="1708"/>
      <c r="DY297" s="1708"/>
      <c r="DZ297" s="1708"/>
      <c r="EA297" s="1708"/>
      <c r="EB297" s="1708"/>
      <c r="EC297" s="1708"/>
      <c r="ED297" s="1708"/>
      <c r="EE297" s="1708"/>
      <c r="EF297" s="1708"/>
      <c r="EG297" s="1708"/>
      <c r="EH297" s="1708"/>
      <c r="EI297" s="1708"/>
      <c r="EJ297" s="1708"/>
      <c r="EK297" s="1708"/>
      <c r="EL297" s="1708"/>
      <c r="EM297" s="1708"/>
      <c r="EN297" s="1708"/>
      <c r="EO297" s="1708"/>
      <c r="EP297" s="1708"/>
      <c r="EQ297" s="1708"/>
      <c r="ER297" s="1708"/>
      <c r="ES297" s="1708"/>
      <c r="ET297" s="1708"/>
      <c r="EU297" s="1708"/>
      <c r="EV297" s="1708"/>
      <c r="EW297" s="1708"/>
      <c r="EX297" s="1708"/>
      <c r="EY297" s="1708"/>
      <c r="EZ297" s="1708"/>
      <c r="FA297" s="1708"/>
      <c r="FB297" s="1708"/>
      <c r="FC297" s="1708"/>
      <c r="FD297" s="1708"/>
      <c r="FE297" s="1708"/>
      <c r="FF297" s="1708"/>
      <c r="FG297" s="1708"/>
      <c r="FH297" s="1708"/>
      <c r="FI297" s="1708"/>
      <c r="FJ297" s="1708"/>
      <c r="FK297" s="1708"/>
      <c r="FL297" s="1708"/>
      <c r="FM297" s="1708"/>
      <c r="FN297" s="1708"/>
      <c r="FO297" s="1708"/>
      <c r="FP297" s="1708"/>
      <c r="FQ297" s="1708"/>
      <c r="FR297" s="1708"/>
      <c r="FS297" s="1708"/>
      <c r="FT297" s="1708"/>
      <c r="FU297" s="1708"/>
      <c r="FV297" s="1708"/>
      <c r="FW297" s="1708"/>
      <c r="FX297" s="1708"/>
      <c r="FY297" s="1708"/>
      <c r="FZ297" s="1708"/>
      <c r="GA297" s="1708"/>
      <c r="GB297" s="1708"/>
      <c r="GC297" s="1708"/>
      <c r="GD297" s="1708"/>
      <c r="GE297" s="1708"/>
      <c r="GF297" s="1708"/>
      <c r="GG297" s="1708"/>
      <c r="GH297" s="1708"/>
      <c r="GI297" s="1708"/>
      <c r="GJ297" s="1708"/>
      <c r="GK297" s="1708"/>
      <c r="GL297" s="1708"/>
      <c r="GM297" s="1708"/>
      <c r="GN297" s="1708"/>
      <c r="GO297" s="1708"/>
      <c r="GP297" s="1708"/>
      <c r="GQ297" s="1708"/>
      <c r="GR297" s="1708"/>
      <c r="GS297" s="1708"/>
      <c r="GT297" s="1708"/>
      <c r="GU297" s="1708"/>
      <c r="GV297" s="1708"/>
      <c r="GW297" s="1708"/>
      <c r="GX297" s="1708"/>
      <c r="GY297" s="1708"/>
      <c r="GZ297" s="1708"/>
      <c r="HA297" s="1708"/>
      <c r="HB297" s="1708"/>
      <c r="HC297" s="1708"/>
      <c r="HD297" s="1708"/>
      <c r="HE297" s="1708"/>
      <c r="HF297" s="1708"/>
      <c r="HG297" s="1708"/>
      <c r="HH297" s="1708"/>
      <c r="HI297" s="1708"/>
      <c r="HJ297" s="1708"/>
      <c r="HK297" s="1708"/>
      <c r="HL297" s="1708"/>
      <c r="HM297" s="1708"/>
      <c r="HN297" s="1708"/>
      <c r="HO297" s="1708"/>
      <c r="HP297" s="1708"/>
      <c r="HQ297" s="1708"/>
      <c r="HR297" s="1708"/>
      <c r="HS297" s="1708"/>
      <c r="HT297" s="1708"/>
      <c r="HU297" s="1708"/>
      <c r="HV297" s="1708"/>
      <c r="HW297" s="1708"/>
      <c r="HX297" s="1708"/>
      <c r="HY297" s="1708"/>
      <c r="HZ297" s="1708"/>
      <c r="IA297" s="1708"/>
      <c r="IB297" s="1708"/>
      <c r="IC297" s="1708"/>
      <c r="ID297" s="1708"/>
      <c r="IE297" s="1708"/>
      <c r="IF297" s="1708"/>
      <c r="IG297" s="1708"/>
      <c r="IH297" s="1708"/>
      <c r="II297" s="1708"/>
      <c r="IJ297" s="1708"/>
      <c r="IK297" s="1708"/>
      <c r="IL297" s="1708"/>
      <c r="IM297" s="1708"/>
      <c r="IN297" s="1708"/>
      <c r="IO297" s="1708"/>
      <c r="IP297" s="1708"/>
      <c r="IQ297" s="1708"/>
      <c r="IR297" s="1708"/>
      <c r="IS297" s="1708"/>
      <c r="IT297" s="1708"/>
      <c r="IU297" s="1708"/>
      <c r="IV297" s="1708"/>
    </row>
    <row r="298" spans="2:256" s="57" customFormat="1" x14ac:dyDescent="0.25">
      <c r="B298" s="1836"/>
      <c r="G298" s="1849"/>
      <c r="J298" s="1850"/>
      <c r="K298" s="1850"/>
      <c r="S298" s="1708"/>
      <c r="T298" s="1708"/>
      <c r="U298" s="1708"/>
      <c r="V298" s="1708"/>
      <c r="W298" s="1708"/>
      <c r="X298" s="1708"/>
      <c r="Y298" s="1708"/>
      <c r="Z298" s="1708"/>
      <c r="AA298" s="1708"/>
      <c r="AB298" s="1708"/>
      <c r="AC298" s="1708"/>
      <c r="AD298" s="1708"/>
      <c r="AE298" s="1708"/>
      <c r="AF298" s="1708"/>
      <c r="AG298" s="1708"/>
      <c r="AH298" s="1708"/>
      <c r="AI298" s="1708"/>
      <c r="AJ298" s="1708"/>
      <c r="AK298" s="1708"/>
      <c r="AL298" s="1708"/>
      <c r="AM298" s="1708"/>
      <c r="AN298" s="1708"/>
      <c r="AO298" s="1708"/>
      <c r="AP298" s="1708"/>
      <c r="AQ298" s="1708"/>
      <c r="AR298" s="1708"/>
      <c r="AS298" s="1708"/>
      <c r="AT298" s="1708"/>
      <c r="AU298" s="1708"/>
      <c r="AV298" s="1708"/>
      <c r="AW298" s="1708"/>
      <c r="AX298" s="1708"/>
      <c r="AY298" s="1708"/>
      <c r="AZ298" s="1708"/>
      <c r="BA298" s="1708"/>
      <c r="BB298" s="1708"/>
      <c r="BC298" s="1708"/>
      <c r="BD298" s="1708"/>
      <c r="BE298" s="1708"/>
      <c r="BF298" s="1708"/>
      <c r="BG298" s="1708"/>
      <c r="BH298" s="1708"/>
      <c r="BI298" s="1708"/>
      <c r="BJ298" s="1708"/>
      <c r="BK298" s="1708"/>
      <c r="BL298" s="1708"/>
      <c r="BM298" s="1708"/>
      <c r="BN298" s="1708"/>
      <c r="BO298" s="1708"/>
      <c r="BP298" s="1708"/>
      <c r="BQ298" s="1708"/>
      <c r="BR298" s="1708"/>
      <c r="BS298" s="1708"/>
      <c r="BT298" s="1708"/>
      <c r="BU298" s="1708"/>
      <c r="BV298" s="1708"/>
      <c r="BW298" s="1708"/>
      <c r="BX298" s="1708"/>
      <c r="BY298" s="1708"/>
      <c r="BZ298" s="1708"/>
      <c r="CA298" s="1708"/>
      <c r="CB298" s="1708"/>
      <c r="CC298" s="1708"/>
      <c r="CD298" s="1708"/>
      <c r="CE298" s="1708"/>
      <c r="CF298" s="1708"/>
      <c r="CG298" s="1708"/>
      <c r="CH298" s="1708"/>
      <c r="CI298" s="1708"/>
      <c r="CJ298" s="1708"/>
      <c r="CK298" s="1708"/>
      <c r="CL298" s="1708"/>
      <c r="CM298" s="1708"/>
      <c r="CN298" s="1708"/>
      <c r="CO298" s="1708"/>
      <c r="CP298" s="1708"/>
      <c r="CQ298" s="1708"/>
      <c r="CR298" s="1708"/>
      <c r="CS298" s="1708"/>
      <c r="CT298" s="1708"/>
      <c r="CU298" s="1708"/>
      <c r="CV298" s="1708"/>
      <c r="CW298" s="1708"/>
      <c r="CX298" s="1708"/>
      <c r="CY298" s="1708"/>
      <c r="CZ298" s="1708"/>
      <c r="DA298" s="1708"/>
      <c r="DB298" s="1708"/>
      <c r="DC298" s="1708"/>
      <c r="DD298" s="1708"/>
      <c r="DE298" s="1708"/>
      <c r="DF298" s="1708"/>
      <c r="DG298" s="1708"/>
      <c r="DH298" s="1708"/>
      <c r="DI298" s="1708"/>
      <c r="DJ298" s="1708"/>
      <c r="DK298" s="1708"/>
      <c r="DL298" s="1708"/>
      <c r="DM298" s="1708"/>
      <c r="DN298" s="1708"/>
      <c r="DO298" s="1708"/>
      <c r="DP298" s="1708"/>
      <c r="DQ298" s="1708"/>
      <c r="DR298" s="1708"/>
      <c r="DS298" s="1708"/>
      <c r="DT298" s="1708"/>
      <c r="DU298" s="1708"/>
      <c r="DV298" s="1708"/>
      <c r="DW298" s="1708"/>
      <c r="DX298" s="1708"/>
      <c r="DY298" s="1708"/>
      <c r="DZ298" s="1708"/>
      <c r="EA298" s="1708"/>
      <c r="EB298" s="1708"/>
      <c r="EC298" s="1708"/>
      <c r="ED298" s="1708"/>
      <c r="EE298" s="1708"/>
      <c r="EF298" s="1708"/>
      <c r="EG298" s="1708"/>
      <c r="EH298" s="1708"/>
      <c r="EI298" s="1708"/>
      <c r="EJ298" s="1708"/>
      <c r="EK298" s="1708"/>
      <c r="EL298" s="1708"/>
      <c r="EM298" s="1708"/>
      <c r="EN298" s="1708"/>
      <c r="EO298" s="1708"/>
      <c r="EP298" s="1708"/>
      <c r="EQ298" s="1708"/>
      <c r="ER298" s="1708"/>
      <c r="ES298" s="1708"/>
      <c r="ET298" s="1708"/>
      <c r="EU298" s="1708"/>
      <c r="EV298" s="1708"/>
      <c r="EW298" s="1708"/>
      <c r="EX298" s="1708"/>
      <c r="EY298" s="1708"/>
      <c r="EZ298" s="1708"/>
      <c r="FA298" s="1708"/>
      <c r="FB298" s="1708"/>
      <c r="FC298" s="1708"/>
      <c r="FD298" s="1708"/>
      <c r="FE298" s="1708"/>
      <c r="FF298" s="1708"/>
      <c r="FG298" s="1708"/>
      <c r="FH298" s="1708"/>
      <c r="FI298" s="1708"/>
      <c r="FJ298" s="1708"/>
      <c r="FK298" s="1708"/>
      <c r="FL298" s="1708"/>
      <c r="FM298" s="1708"/>
      <c r="FN298" s="1708"/>
      <c r="FO298" s="1708"/>
      <c r="FP298" s="1708"/>
      <c r="FQ298" s="1708"/>
      <c r="FR298" s="1708"/>
      <c r="FS298" s="1708"/>
      <c r="FT298" s="1708"/>
      <c r="FU298" s="1708"/>
      <c r="FV298" s="1708"/>
      <c r="FW298" s="1708"/>
      <c r="FX298" s="1708"/>
      <c r="FY298" s="1708"/>
      <c r="FZ298" s="1708"/>
      <c r="GA298" s="1708"/>
      <c r="GB298" s="1708"/>
      <c r="GC298" s="1708"/>
      <c r="GD298" s="1708"/>
      <c r="GE298" s="1708"/>
      <c r="GF298" s="1708"/>
      <c r="GG298" s="1708"/>
      <c r="GH298" s="1708"/>
      <c r="GI298" s="1708"/>
      <c r="GJ298" s="1708"/>
      <c r="GK298" s="1708"/>
      <c r="GL298" s="1708"/>
      <c r="GM298" s="1708"/>
      <c r="GN298" s="1708"/>
      <c r="GO298" s="1708"/>
      <c r="GP298" s="1708"/>
      <c r="GQ298" s="1708"/>
      <c r="GR298" s="1708"/>
      <c r="GS298" s="1708"/>
      <c r="GT298" s="1708"/>
      <c r="GU298" s="1708"/>
      <c r="GV298" s="1708"/>
      <c r="GW298" s="1708"/>
      <c r="GX298" s="1708"/>
      <c r="GY298" s="1708"/>
      <c r="GZ298" s="1708"/>
      <c r="HA298" s="1708"/>
      <c r="HB298" s="1708"/>
      <c r="HC298" s="1708"/>
      <c r="HD298" s="1708"/>
      <c r="HE298" s="1708"/>
      <c r="HF298" s="1708"/>
      <c r="HG298" s="1708"/>
      <c r="HH298" s="1708"/>
      <c r="HI298" s="1708"/>
      <c r="HJ298" s="1708"/>
      <c r="HK298" s="1708"/>
      <c r="HL298" s="1708"/>
      <c r="HM298" s="1708"/>
      <c r="HN298" s="1708"/>
      <c r="HO298" s="1708"/>
      <c r="HP298" s="1708"/>
      <c r="HQ298" s="1708"/>
      <c r="HR298" s="1708"/>
      <c r="HS298" s="1708"/>
      <c r="HT298" s="1708"/>
      <c r="HU298" s="1708"/>
      <c r="HV298" s="1708"/>
      <c r="HW298" s="1708"/>
      <c r="HX298" s="1708"/>
      <c r="HY298" s="1708"/>
      <c r="HZ298" s="1708"/>
      <c r="IA298" s="1708"/>
      <c r="IB298" s="1708"/>
      <c r="IC298" s="1708"/>
      <c r="ID298" s="1708"/>
      <c r="IE298" s="1708"/>
      <c r="IF298" s="1708"/>
      <c r="IG298" s="1708"/>
      <c r="IH298" s="1708"/>
      <c r="II298" s="1708"/>
      <c r="IJ298" s="1708"/>
      <c r="IK298" s="1708"/>
      <c r="IL298" s="1708"/>
      <c r="IM298" s="1708"/>
      <c r="IN298" s="1708"/>
      <c r="IO298" s="1708"/>
      <c r="IP298" s="1708"/>
      <c r="IQ298" s="1708"/>
      <c r="IR298" s="1708"/>
      <c r="IS298" s="1708"/>
      <c r="IT298" s="1708"/>
      <c r="IU298" s="1708"/>
      <c r="IV298" s="1708"/>
    </row>
    <row r="299" spans="2:256" s="57" customFormat="1" x14ac:dyDescent="0.25">
      <c r="B299" s="1836"/>
      <c r="G299" s="1849"/>
      <c r="J299" s="1850"/>
      <c r="K299" s="1850"/>
      <c r="S299" s="1708"/>
      <c r="T299" s="1708"/>
      <c r="U299" s="1708"/>
      <c r="V299" s="1708"/>
      <c r="W299" s="1708"/>
      <c r="X299" s="1708"/>
      <c r="Y299" s="1708"/>
      <c r="Z299" s="1708"/>
      <c r="AA299" s="1708"/>
      <c r="AB299" s="1708"/>
      <c r="AC299" s="1708"/>
      <c r="AD299" s="1708"/>
      <c r="AE299" s="1708"/>
      <c r="AF299" s="1708"/>
      <c r="AG299" s="1708"/>
      <c r="AH299" s="1708"/>
      <c r="AI299" s="1708"/>
      <c r="AJ299" s="1708"/>
      <c r="AK299" s="1708"/>
      <c r="AL299" s="1708"/>
      <c r="AM299" s="1708"/>
      <c r="AN299" s="1708"/>
      <c r="AO299" s="1708"/>
      <c r="AP299" s="1708"/>
      <c r="AQ299" s="1708"/>
      <c r="AR299" s="1708"/>
      <c r="AS299" s="1708"/>
      <c r="AT299" s="1708"/>
      <c r="AU299" s="1708"/>
      <c r="AV299" s="1708"/>
      <c r="AW299" s="1708"/>
      <c r="AX299" s="1708"/>
      <c r="AY299" s="1708"/>
      <c r="AZ299" s="1708"/>
      <c r="BA299" s="1708"/>
      <c r="BB299" s="1708"/>
      <c r="BC299" s="1708"/>
      <c r="BD299" s="1708"/>
      <c r="BE299" s="1708"/>
      <c r="BF299" s="1708"/>
      <c r="BG299" s="1708"/>
      <c r="BH299" s="1708"/>
      <c r="BI299" s="1708"/>
      <c r="BJ299" s="1708"/>
      <c r="BK299" s="1708"/>
      <c r="BL299" s="1708"/>
      <c r="BM299" s="1708"/>
      <c r="BN299" s="1708"/>
      <c r="BO299" s="1708"/>
      <c r="BP299" s="1708"/>
      <c r="BQ299" s="1708"/>
      <c r="BR299" s="1708"/>
      <c r="BS299" s="1708"/>
      <c r="BT299" s="1708"/>
      <c r="BU299" s="1708"/>
      <c r="BV299" s="1708"/>
      <c r="BW299" s="1708"/>
      <c r="BX299" s="1708"/>
      <c r="BY299" s="1708"/>
      <c r="BZ299" s="1708"/>
      <c r="CA299" s="1708"/>
      <c r="CB299" s="1708"/>
      <c r="CC299" s="1708"/>
      <c r="CD299" s="1708"/>
      <c r="CE299" s="1708"/>
      <c r="CF299" s="1708"/>
      <c r="CG299" s="1708"/>
      <c r="CH299" s="1708"/>
      <c r="CI299" s="1708"/>
      <c r="CJ299" s="1708"/>
      <c r="CK299" s="1708"/>
      <c r="CL299" s="1708"/>
      <c r="CM299" s="1708"/>
      <c r="CN299" s="1708"/>
      <c r="CO299" s="1708"/>
      <c r="CP299" s="1708"/>
      <c r="CQ299" s="1708"/>
      <c r="CR299" s="1708"/>
      <c r="CS299" s="1708"/>
      <c r="CT299" s="1708"/>
      <c r="CU299" s="1708"/>
      <c r="CV299" s="1708"/>
      <c r="CW299" s="1708"/>
      <c r="CX299" s="1708"/>
      <c r="CY299" s="1708"/>
      <c r="CZ299" s="1708"/>
      <c r="DA299" s="1708"/>
      <c r="DB299" s="1708"/>
      <c r="DC299" s="1708"/>
      <c r="DD299" s="1708"/>
      <c r="DE299" s="1708"/>
      <c r="DF299" s="1708"/>
      <c r="DG299" s="1708"/>
      <c r="DH299" s="1708"/>
      <c r="DI299" s="1708"/>
      <c r="DJ299" s="1708"/>
      <c r="DK299" s="1708"/>
      <c r="DL299" s="1708"/>
      <c r="DM299" s="1708"/>
      <c r="DN299" s="1708"/>
      <c r="DO299" s="1708"/>
      <c r="DP299" s="1708"/>
      <c r="DQ299" s="1708"/>
      <c r="DR299" s="1708"/>
      <c r="DS299" s="1708"/>
      <c r="DT299" s="1708"/>
      <c r="DU299" s="1708"/>
      <c r="DV299" s="1708"/>
      <c r="DW299" s="1708"/>
      <c r="DX299" s="1708"/>
      <c r="DY299" s="1708"/>
      <c r="DZ299" s="1708"/>
      <c r="EA299" s="1708"/>
      <c r="EB299" s="1708"/>
      <c r="EC299" s="1708"/>
      <c r="ED299" s="1708"/>
      <c r="EE299" s="1708"/>
      <c r="EF299" s="1708"/>
      <c r="EG299" s="1708"/>
      <c r="EH299" s="1708"/>
      <c r="EI299" s="1708"/>
      <c r="EJ299" s="1708"/>
      <c r="EK299" s="1708"/>
      <c r="EL299" s="1708"/>
      <c r="EM299" s="1708"/>
      <c r="EN299" s="1708"/>
      <c r="EO299" s="1708"/>
      <c r="EP299" s="1708"/>
      <c r="EQ299" s="1708"/>
      <c r="ER299" s="1708"/>
      <c r="ES299" s="1708"/>
      <c r="ET299" s="1708"/>
      <c r="EU299" s="1708"/>
      <c r="EV299" s="1708"/>
      <c r="EW299" s="1708"/>
      <c r="EX299" s="1708"/>
      <c r="EY299" s="1708"/>
      <c r="EZ299" s="1708"/>
      <c r="FA299" s="1708"/>
      <c r="FB299" s="1708"/>
      <c r="FC299" s="1708"/>
      <c r="FD299" s="1708"/>
      <c r="FE299" s="1708"/>
      <c r="FF299" s="1708"/>
      <c r="FG299" s="1708"/>
      <c r="FH299" s="1708"/>
      <c r="FI299" s="1708"/>
      <c r="FJ299" s="1708"/>
      <c r="FK299" s="1708"/>
      <c r="FL299" s="1708"/>
      <c r="FM299" s="1708"/>
      <c r="FN299" s="1708"/>
      <c r="FO299" s="1708"/>
      <c r="FP299" s="1708"/>
      <c r="FQ299" s="1708"/>
      <c r="FR299" s="1708"/>
      <c r="FS299" s="1708"/>
      <c r="FT299" s="1708"/>
      <c r="FU299" s="1708"/>
      <c r="FV299" s="1708"/>
      <c r="FW299" s="1708"/>
      <c r="FX299" s="1708"/>
      <c r="FY299" s="1708"/>
      <c r="FZ299" s="1708"/>
      <c r="GA299" s="1708"/>
      <c r="GB299" s="1708"/>
      <c r="GC299" s="1708"/>
      <c r="GD299" s="1708"/>
      <c r="GE299" s="1708"/>
      <c r="GF299" s="1708"/>
      <c r="GG299" s="1708"/>
      <c r="GH299" s="1708"/>
      <c r="GI299" s="1708"/>
      <c r="GJ299" s="1708"/>
      <c r="GK299" s="1708"/>
      <c r="GL299" s="1708"/>
      <c r="GM299" s="1708"/>
      <c r="GN299" s="1708"/>
      <c r="GO299" s="1708"/>
      <c r="GP299" s="1708"/>
      <c r="GQ299" s="1708"/>
      <c r="GR299" s="1708"/>
      <c r="GS299" s="1708"/>
      <c r="GT299" s="1708"/>
      <c r="GU299" s="1708"/>
      <c r="GV299" s="1708"/>
      <c r="GW299" s="1708"/>
      <c r="GX299" s="1708"/>
      <c r="GY299" s="1708"/>
      <c r="GZ299" s="1708"/>
      <c r="HA299" s="1708"/>
      <c r="HB299" s="1708"/>
      <c r="HC299" s="1708"/>
      <c r="HD299" s="1708"/>
      <c r="HE299" s="1708"/>
      <c r="HF299" s="1708"/>
      <c r="HG299" s="1708"/>
      <c r="HH299" s="1708"/>
      <c r="HI299" s="1708"/>
      <c r="HJ299" s="1708"/>
      <c r="HK299" s="1708"/>
      <c r="HL299" s="1708"/>
      <c r="HM299" s="1708"/>
      <c r="HN299" s="1708"/>
      <c r="HO299" s="1708"/>
      <c r="HP299" s="1708"/>
      <c r="HQ299" s="1708"/>
      <c r="HR299" s="1708"/>
      <c r="HS299" s="1708"/>
      <c r="HT299" s="1708"/>
      <c r="HU299" s="1708"/>
      <c r="HV299" s="1708"/>
      <c r="HW299" s="1708"/>
      <c r="HX299" s="1708"/>
      <c r="HY299" s="1708"/>
      <c r="HZ299" s="1708"/>
      <c r="IA299" s="1708"/>
      <c r="IB299" s="1708"/>
      <c r="IC299" s="1708"/>
      <c r="ID299" s="1708"/>
      <c r="IE299" s="1708"/>
      <c r="IF299" s="1708"/>
      <c r="IG299" s="1708"/>
      <c r="IH299" s="1708"/>
      <c r="II299" s="1708"/>
      <c r="IJ299" s="1708"/>
      <c r="IK299" s="1708"/>
      <c r="IL299" s="1708"/>
      <c r="IM299" s="1708"/>
      <c r="IN299" s="1708"/>
      <c r="IO299" s="1708"/>
      <c r="IP299" s="1708"/>
      <c r="IQ299" s="1708"/>
      <c r="IR299" s="1708"/>
      <c r="IS299" s="1708"/>
      <c r="IT299" s="1708"/>
      <c r="IU299" s="1708"/>
      <c r="IV299" s="1708"/>
    </row>
    <row r="300" spans="2:256" s="57" customFormat="1" x14ac:dyDescent="0.25">
      <c r="B300" s="1836"/>
      <c r="G300" s="1849"/>
      <c r="J300" s="1850"/>
      <c r="K300" s="1850"/>
      <c r="S300" s="1708"/>
      <c r="T300" s="1708"/>
      <c r="U300" s="1708"/>
      <c r="V300" s="1708"/>
      <c r="W300" s="1708"/>
      <c r="X300" s="1708"/>
      <c r="Y300" s="1708"/>
      <c r="Z300" s="1708"/>
      <c r="AA300" s="1708"/>
      <c r="AB300" s="1708"/>
      <c r="AC300" s="1708"/>
      <c r="AD300" s="1708"/>
      <c r="AE300" s="1708"/>
      <c r="AF300" s="1708"/>
      <c r="AG300" s="1708"/>
      <c r="AH300" s="1708"/>
      <c r="AI300" s="1708"/>
      <c r="AJ300" s="1708"/>
      <c r="AK300" s="1708"/>
      <c r="AL300" s="1708"/>
      <c r="AM300" s="1708"/>
      <c r="AN300" s="1708"/>
      <c r="AO300" s="1708"/>
      <c r="AP300" s="1708"/>
      <c r="AQ300" s="1708"/>
      <c r="AR300" s="1708"/>
      <c r="AS300" s="1708"/>
      <c r="AT300" s="1708"/>
      <c r="AU300" s="1708"/>
      <c r="AV300" s="1708"/>
      <c r="AW300" s="1708"/>
      <c r="AX300" s="1708"/>
      <c r="AY300" s="1708"/>
      <c r="AZ300" s="1708"/>
      <c r="BA300" s="1708"/>
      <c r="BB300" s="1708"/>
      <c r="BC300" s="1708"/>
      <c r="BD300" s="1708"/>
      <c r="BE300" s="1708"/>
      <c r="BF300" s="1708"/>
      <c r="BG300" s="1708"/>
      <c r="BH300" s="1708"/>
      <c r="BI300" s="1708"/>
      <c r="BJ300" s="1708"/>
      <c r="BK300" s="1708"/>
      <c r="BL300" s="1708"/>
      <c r="BM300" s="1708"/>
      <c r="BN300" s="1708"/>
      <c r="BO300" s="1708"/>
      <c r="BP300" s="1708"/>
      <c r="BQ300" s="1708"/>
      <c r="BR300" s="1708"/>
      <c r="BS300" s="1708"/>
      <c r="BT300" s="1708"/>
      <c r="BU300" s="1708"/>
      <c r="BV300" s="1708"/>
      <c r="BW300" s="1708"/>
      <c r="BX300" s="1708"/>
      <c r="BY300" s="1708"/>
      <c r="BZ300" s="1708"/>
      <c r="CA300" s="1708"/>
      <c r="CB300" s="1708"/>
      <c r="CC300" s="1708"/>
      <c r="CD300" s="1708"/>
      <c r="CE300" s="1708"/>
      <c r="CF300" s="1708"/>
      <c r="CG300" s="1708"/>
      <c r="CH300" s="1708"/>
      <c r="CI300" s="1708"/>
      <c r="CJ300" s="1708"/>
      <c r="CK300" s="1708"/>
      <c r="CL300" s="1708"/>
      <c r="CM300" s="1708"/>
      <c r="CN300" s="1708"/>
      <c r="CO300" s="1708"/>
      <c r="CP300" s="1708"/>
      <c r="CQ300" s="1708"/>
      <c r="CR300" s="1708"/>
      <c r="CS300" s="1708"/>
      <c r="CT300" s="1708"/>
      <c r="CU300" s="1708"/>
      <c r="CV300" s="1708"/>
      <c r="CW300" s="1708"/>
      <c r="CX300" s="1708"/>
      <c r="CY300" s="1708"/>
      <c r="CZ300" s="1708"/>
      <c r="DA300" s="1708"/>
      <c r="DB300" s="1708"/>
      <c r="DC300" s="1708"/>
      <c r="DD300" s="1708"/>
      <c r="DE300" s="1708"/>
      <c r="DF300" s="1708"/>
      <c r="DG300" s="1708"/>
      <c r="DH300" s="1708"/>
      <c r="DI300" s="1708"/>
      <c r="DJ300" s="1708"/>
      <c r="DK300" s="1708"/>
      <c r="DL300" s="1708"/>
      <c r="DM300" s="1708"/>
      <c r="DN300" s="1708"/>
      <c r="DO300" s="1708"/>
      <c r="DP300" s="1708"/>
      <c r="DQ300" s="1708"/>
      <c r="DR300" s="1708"/>
      <c r="DS300" s="1708"/>
      <c r="DT300" s="1708"/>
      <c r="DU300" s="1708"/>
      <c r="DV300" s="1708"/>
      <c r="DW300" s="1708"/>
      <c r="DX300" s="1708"/>
      <c r="DY300" s="1708"/>
      <c r="DZ300" s="1708"/>
      <c r="EA300" s="1708"/>
      <c r="EB300" s="1708"/>
      <c r="EC300" s="1708"/>
      <c r="ED300" s="1708"/>
      <c r="EE300" s="1708"/>
      <c r="EF300" s="1708"/>
      <c r="EG300" s="1708"/>
      <c r="EH300" s="1708"/>
      <c r="EI300" s="1708"/>
      <c r="EJ300" s="1708"/>
      <c r="EK300" s="1708"/>
      <c r="EL300" s="1708"/>
      <c r="EM300" s="1708"/>
      <c r="EN300" s="1708"/>
      <c r="EO300" s="1708"/>
      <c r="EP300" s="1708"/>
      <c r="EQ300" s="1708"/>
      <c r="ER300" s="1708"/>
      <c r="ES300" s="1708"/>
      <c r="ET300" s="1708"/>
      <c r="EU300" s="1708"/>
      <c r="EV300" s="1708"/>
      <c r="EW300" s="1708"/>
      <c r="EX300" s="1708"/>
      <c r="EY300" s="1708"/>
      <c r="EZ300" s="1708"/>
      <c r="FA300" s="1708"/>
      <c r="FB300" s="1708"/>
      <c r="FC300" s="1708"/>
      <c r="FD300" s="1708"/>
      <c r="FE300" s="1708"/>
      <c r="FF300" s="1708"/>
      <c r="FG300" s="1708"/>
      <c r="FH300" s="1708"/>
      <c r="FI300" s="1708"/>
      <c r="FJ300" s="1708"/>
      <c r="FK300" s="1708"/>
      <c r="FL300" s="1708"/>
      <c r="FM300" s="1708"/>
      <c r="FN300" s="1708"/>
      <c r="FO300" s="1708"/>
      <c r="FP300" s="1708"/>
      <c r="FQ300" s="1708"/>
      <c r="FR300" s="1708"/>
      <c r="FS300" s="1708"/>
      <c r="FT300" s="1708"/>
      <c r="FU300" s="1708"/>
      <c r="FV300" s="1708"/>
      <c r="FW300" s="1708"/>
      <c r="FX300" s="1708"/>
      <c r="FY300" s="1708"/>
      <c r="FZ300" s="1708"/>
      <c r="GA300" s="1708"/>
      <c r="GB300" s="1708"/>
      <c r="GC300" s="1708"/>
      <c r="GD300" s="1708"/>
      <c r="GE300" s="1708"/>
      <c r="GF300" s="1708"/>
      <c r="GG300" s="1708"/>
      <c r="GH300" s="1708"/>
      <c r="GI300" s="1708"/>
      <c r="GJ300" s="1708"/>
      <c r="GK300" s="1708"/>
      <c r="GL300" s="1708"/>
      <c r="GM300" s="1708"/>
      <c r="GN300" s="1708"/>
      <c r="GO300" s="1708"/>
      <c r="GP300" s="1708"/>
      <c r="GQ300" s="1708"/>
      <c r="GR300" s="1708"/>
      <c r="GS300" s="1708"/>
      <c r="GT300" s="1708"/>
      <c r="GU300" s="1708"/>
      <c r="GV300" s="1708"/>
      <c r="GW300" s="1708"/>
      <c r="GX300" s="1708"/>
      <c r="GY300" s="1708"/>
      <c r="GZ300" s="1708"/>
      <c r="HA300" s="1708"/>
      <c r="HB300" s="1708"/>
      <c r="HC300" s="1708"/>
      <c r="HD300" s="1708"/>
      <c r="HE300" s="1708"/>
      <c r="HF300" s="1708"/>
      <c r="HG300" s="1708"/>
      <c r="HH300" s="1708"/>
      <c r="HI300" s="1708"/>
      <c r="HJ300" s="1708"/>
      <c r="HK300" s="1708"/>
      <c r="HL300" s="1708"/>
      <c r="HM300" s="1708"/>
      <c r="HN300" s="1708"/>
      <c r="HO300" s="1708"/>
      <c r="HP300" s="1708"/>
      <c r="HQ300" s="1708"/>
      <c r="HR300" s="1708"/>
      <c r="HS300" s="1708"/>
      <c r="HT300" s="1708"/>
      <c r="HU300" s="1708"/>
      <c r="HV300" s="1708"/>
      <c r="HW300" s="1708"/>
      <c r="HX300" s="1708"/>
      <c r="HY300" s="1708"/>
      <c r="HZ300" s="1708"/>
      <c r="IA300" s="1708"/>
      <c r="IB300" s="1708"/>
      <c r="IC300" s="1708"/>
      <c r="ID300" s="1708"/>
      <c r="IE300" s="1708"/>
      <c r="IF300" s="1708"/>
      <c r="IG300" s="1708"/>
      <c r="IH300" s="1708"/>
      <c r="II300" s="1708"/>
      <c r="IJ300" s="1708"/>
      <c r="IK300" s="1708"/>
      <c r="IL300" s="1708"/>
      <c r="IM300" s="1708"/>
      <c r="IN300" s="1708"/>
      <c r="IO300" s="1708"/>
      <c r="IP300" s="1708"/>
      <c r="IQ300" s="1708"/>
      <c r="IR300" s="1708"/>
      <c r="IS300" s="1708"/>
      <c r="IT300" s="1708"/>
      <c r="IU300" s="1708"/>
      <c r="IV300" s="1708"/>
    </row>
    <row r="301" spans="2:256" s="57" customFormat="1" x14ac:dyDescent="0.25">
      <c r="B301" s="1836"/>
      <c r="G301" s="1849"/>
      <c r="J301" s="1850"/>
      <c r="K301" s="1850"/>
      <c r="S301" s="1708"/>
      <c r="T301" s="1708"/>
      <c r="U301" s="1708"/>
      <c r="V301" s="1708"/>
      <c r="W301" s="1708"/>
      <c r="X301" s="1708"/>
      <c r="Y301" s="1708"/>
      <c r="Z301" s="1708"/>
      <c r="AA301" s="1708"/>
      <c r="AB301" s="1708"/>
      <c r="AC301" s="1708"/>
      <c r="AD301" s="1708"/>
      <c r="AE301" s="1708"/>
      <c r="AF301" s="1708"/>
      <c r="AG301" s="1708"/>
      <c r="AH301" s="1708"/>
      <c r="AI301" s="1708"/>
      <c r="AJ301" s="1708"/>
      <c r="AK301" s="1708"/>
      <c r="AL301" s="1708"/>
      <c r="AM301" s="1708"/>
      <c r="AN301" s="1708"/>
      <c r="AO301" s="1708"/>
      <c r="AP301" s="1708"/>
      <c r="AQ301" s="1708"/>
      <c r="AR301" s="1708"/>
      <c r="AS301" s="1708"/>
      <c r="AT301" s="1708"/>
      <c r="AU301" s="1708"/>
      <c r="AV301" s="1708"/>
      <c r="AW301" s="1708"/>
      <c r="AX301" s="1708"/>
      <c r="AY301" s="1708"/>
      <c r="AZ301" s="1708"/>
      <c r="BA301" s="1708"/>
      <c r="BB301" s="1708"/>
      <c r="BC301" s="1708"/>
      <c r="BD301" s="1708"/>
      <c r="BE301" s="1708"/>
      <c r="BF301" s="1708"/>
      <c r="BG301" s="1708"/>
      <c r="BH301" s="1708"/>
      <c r="BI301" s="1708"/>
      <c r="BJ301" s="1708"/>
      <c r="BK301" s="1708"/>
      <c r="BL301" s="1708"/>
      <c r="BM301" s="1708"/>
      <c r="BN301" s="1708"/>
      <c r="BO301" s="1708"/>
      <c r="BP301" s="1708"/>
      <c r="BQ301" s="1708"/>
      <c r="BR301" s="1708"/>
      <c r="BS301" s="1708"/>
      <c r="BT301" s="1708"/>
      <c r="BU301" s="1708"/>
      <c r="BV301" s="1708"/>
      <c r="BW301" s="1708"/>
      <c r="BX301" s="1708"/>
      <c r="BY301" s="1708"/>
      <c r="BZ301" s="1708"/>
      <c r="CA301" s="1708"/>
      <c r="CB301" s="1708"/>
      <c r="CC301" s="1708"/>
      <c r="CD301" s="1708"/>
      <c r="CE301" s="1708"/>
      <c r="CF301" s="1708"/>
      <c r="CG301" s="1708"/>
      <c r="CH301" s="1708"/>
      <c r="CI301" s="1708"/>
      <c r="CJ301" s="1708"/>
      <c r="CK301" s="1708"/>
      <c r="CL301" s="1708"/>
      <c r="CM301" s="1708"/>
      <c r="CN301" s="1708"/>
      <c r="CO301" s="1708"/>
      <c r="CP301" s="1708"/>
      <c r="CQ301" s="1708"/>
      <c r="CR301" s="1708"/>
      <c r="CS301" s="1708"/>
      <c r="CT301" s="1708"/>
      <c r="CU301" s="1708"/>
      <c r="CV301" s="1708"/>
      <c r="CW301" s="1708"/>
      <c r="CX301" s="1708"/>
      <c r="CY301" s="1708"/>
      <c r="CZ301" s="1708"/>
      <c r="DA301" s="1708"/>
      <c r="DB301" s="1708"/>
      <c r="DC301" s="1708"/>
      <c r="DD301" s="1708"/>
      <c r="DE301" s="1708"/>
      <c r="DF301" s="1708"/>
      <c r="DG301" s="1708"/>
      <c r="DH301" s="1708"/>
      <c r="DI301" s="1708"/>
      <c r="DJ301" s="1708"/>
      <c r="DK301" s="1708"/>
      <c r="DL301" s="1708"/>
      <c r="DM301" s="1708"/>
      <c r="DN301" s="1708"/>
      <c r="DO301" s="1708"/>
      <c r="DP301" s="1708"/>
      <c r="DQ301" s="1708"/>
      <c r="DR301" s="1708"/>
      <c r="DS301" s="1708"/>
      <c r="DT301" s="1708"/>
      <c r="DU301" s="1708"/>
      <c r="DV301" s="1708"/>
      <c r="DW301" s="1708"/>
      <c r="DX301" s="1708"/>
      <c r="DY301" s="1708"/>
      <c r="DZ301" s="1708"/>
      <c r="EA301" s="1708"/>
      <c r="EB301" s="1708"/>
      <c r="EC301" s="1708"/>
      <c r="ED301" s="1708"/>
      <c r="EE301" s="1708"/>
      <c r="EF301" s="1708"/>
      <c r="EG301" s="1708"/>
      <c r="EH301" s="1708"/>
      <c r="EI301" s="1708"/>
      <c r="EJ301" s="1708"/>
      <c r="EK301" s="1708"/>
      <c r="EL301" s="1708"/>
      <c r="EM301" s="1708"/>
      <c r="EN301" s="1708"/>
      <c r="EO301" s="1708"/>
      <c r="EP301" s="1708"/>
      <c r="EQ301" s="1708"/>
      <c r="ER301" s="1708"/>
      <c r="ES301" s="1708"/>
      <c r="ET301" s="1708"/>
      <c r="EU301" s="1708"/>
      <c r="EV301" s="1708"/>
      <c r="EW301" s="1708"/>
      <c r="EX301" s="1708"/>
      <c r="EY301" s="1708"/>
      <c r="EZ301" s="1708"/>
      <c r="FA301" s="1708"/>
      <c r="FB301" s="1708"/>
      <c r="FC301" s="1708"/>
      <c r="FD301" s="1708"/>
      <c r="FE301" s="1708"/>
      <c r="FF301" s="1708"/>
      <c r="FG301" s="1708"/>
      <c r="FH301" s="1708"/>
      <c r="FI301" s="1708"/>
      <c r="FJ301" s="1708"/>
      <c r="FK301" s="1708"/>
      <c r="FL301" s="1708"/>
      <c r="FM301" s="1708"/>
      <c r="FN301" s="1708"/>
      <c r="FO301" s="1708"/>
      <c r="FP301" s="1708"/>
      <c r="FQ301" s="1708"/>
      <c r="FR301" s="1708"/>
      <c r="FS301" s="1708"/>
      <c r="FT301" s="1708"/>
      <c r="FU301" s="1708"/>
      <c r="FV301" s="1708"/>
      <c r="FW301" s="1708"/>
      <c r="FX301" s="1708"/>
      <c r="FY301" s="1708"/>
      <c r="FZ301" s="1708"/>
      <c r="GA301" s="1708"/>
      <c r="GB301" s="1708"/>
      <c r="GC301" s="1708"/>
      <c r="GD301" s="1708"/>
      <c r="GE301" s="1708"/>
      <c r="GF301" s="1708"/>
      <c r="GG301" s="1708"/>
      <c r="GH301" s="1708"/>
      <c r="GI301" s="1708"/>
      <c r="GJ301" s="1708"/>
      <c r="GK301" s="1708"/>
      <c r="GL301" s="1708"/>
      <c r="GM301" s="1708"/>
      <c r="GN301" s="1708"/>
      <c r="GO301" s="1708"/>
      <c r="GP301" s="1708"/>
      <c r="GQ301" s="1708"/>
      <c r="GR301" s="1708"/>
      <c r="GS301" s="1708"/>
      <c r="GT301" s="1708"/>
      <c r="GU301" s="1708"/>
      <c r="GV301" s="1708"/>
      <c r="GW301" s="1708"/>
      <c r="GX301" s="1708"/>
      <c r="GY301" s="1708"/>
      <c r="GZ301" s="1708"/>
      <c r="HA301" s="1708"/>
      <c r="HB301" s="1708"/>
      <c r="HC301" s="1708"/>
      <c r="HD301" s="1708"/>
      <c r="HE301" s="1708"/>
      <c r="HF301" s="1708"/>
      <c r="HG301" s="1708"/>
      <c r="HH301" s="1708"/>
      <c r="HI301" s="1708"/>
      <c r="HJ301" s="1708"/>
      <c r="HK301" s="1708"/>
      <c r="HL301" s="1708"/>
      <c r="HM301" s="1708"/>
      <c r="HN301" s="1708"/>
      <c r="HO301" s="1708"/>
      <c r="HP301" s="1708"/>
      <c r="HQ301" s="1708"/>
      <c r="HR301" s="1708"/>
      <c r="HS301" s="1708"/>
      <c r="HT301" s="1708"/>
      <c r="HU301" s="1708"/>
      <c r="HV301" s="1708"/>
      <c r="HW301" s="1708"/>
      <c r="HX301" s="1708"/>
      <c r="HY301" s="1708"/>
      <c r="HZ301" s="1708"/>
      <c r="IA301" s="1708"/>
      <c r="IB301" s="1708"/>
      <c r="IC301" s="1708"/>
      <c r="ID301" s="1708"/>
      <c r="IE301" s="1708"/>
      <c r="IF301" s="1708"/>
      <c r="IG301" s="1708"/>
      <c r="IH301" s="1708"/>
      <c r="II301" s="1708"/>
      <c r="IJ301" s="1708"/>
      <c r="IK301" s="1708"/>
      <c r="IL301" s="1708"/>
      <c r="IM301" s="1708"/>
      <c r="IN301" s="1708"/>
      <c r="IO301" s="1708"/>
      <c r="IP301" s="1708"/>
      <c r="IQ301" s="1708"/>
      <c r="IR301" s="1708"/>
      <c r="IS301" s="1708"/>
      <c r="IT301" s="1708"/>
      <c r="IU301" s="1708"/>
      <c r="IV301" s="1708"/>
    </row>
    <row r="302" spans="2:256" s="57" customFormat="1" x14ac:dyDescent="0.25">
      <c r="B302" s="1836"/>
      <c r="G302" s="1849"/>
      <c r="J302" s="1850"/>
      <c r="K302" s="1850"/>
      <c r="S302" s="1708"/>
      <c r="T302" s="1708"/>
      <c r="U302" s="1708"/>
      <c r="V302" s="1708"/>
      <c r="W302" s="1708"/>
      <c r="X302" s="1708"/>
      <c r="Y302" s="1708"/>
      <c r="Z302" s="1708"/>
      <c r="AA302" s="1708"/>
      <c r="AB302" s="1708"/>
      <c r="AC302" s="1708"/>
      <c r="AD302" s="1708"/>
      <c r="AE302" s="1708"/>
      <c r="AF302" s="1708"/>
      <c r="AG302" s="1708"/>
      <c r="AH302" s="1708"/>
      <c r="AI302" s="1708"/>
      <c r="AJ302" s="1708"/>
      <c r="AK302" s="1708"/>
      <c r="AL302" s="1708"/>
      <c r="AM302" s="1708"/>
      <c r="AN302" s="1708"/>
      <c r="AO302" s="1708"/>
      <c r="AP302" s="1708"/>
      <c r="AQ302" s="1708"/>
      <c r="AR302" s="1708"/>
      <c r="AS302" s="1708"/>
      <c r="AT302" s="1708"/>
      <c r="AU302" s="1708"/>
      <c r="AV302" s="1708"/>
      <c r="AW302" s="1708"/>
      <c r="AX302" s="1708"/>
      <c r="AY302" s="1708"/>
      <c r="AZ302" s="1708"/>
      <c r="BA302" s="1708"/>
      <c r="BB302" s="1708"/>
      <c r="BC302" s="1708"/>
      <c r="BD302" s="1708"/>
      <c r="BE302" s="1708"/>
      <c r="BF302" s="1708"/>
      <c r="BG302" s="1708"/>
      <c r="BH302" s="1708"/>
      <c r="BI302" s="1708"/>
      <c r="BJ302" s="1708"/>
      <c r="BK302" s="1708"/>
      <c r="BL302" s="1708"/>
      <c r="BM302" s="1708"/>
      <c r="BN302" s="1708"/>
      <c r="BO302" s="1708"/>
      <c r="BP302" s="1708"/>
      <c r="BQ302" s="1708"/>
      <c r="BR302" s="1708"/>
      <c r="BS302" s="1708"/>
      <c r="BT302" s="1708"/>
      <c r="BU302" s="1708"/>
      <c r="BV302" s="1708"/>
      <c r="BW302" s="1708"/>
      <c r="BX302" s="1708"/>
      <c r="BY302" s="1708"/>
      <c r="BZ302" s="1708"/>
      <c r="CA302" s="1708"/>
      <c r="CB302" s="1708"/>
      <c r="CC302" s="1708"/>
      <c r="CD302" s="1708"/>
      <c r="CE302" s="1708"/>
      <c r="CF302" s="1708"/>
      <c r="CG302" s="1708"/>
      <c r="CH302" s="1708"/>
      <c r="CI302" s="1708"/>
      <c r="CJ302" s="1708"/>
      <c r="CK302" s="1708"/>
      <c r="CL302" s="1708"/>
      <c r="CM302" s="1708"/>
      <c r="CN302" s="1708"/>
      <c r="CO302" s="1708"/>
      <c r="CP302" s="1708"/>
      <c r="CQ302" s="1708"/>
      <c r="CR302" s="1708"/>
      <c r="CS302" s="1708"/>
      <c r="CT302" s="1708"/>
      <c r="CU302" s="1708"/>
      <c r="CV302" s="1708"/>
      <c r="CW302" s="1708"/>
      <c r="CX302" s="1708"/>
      <c r="CY302" s="1708"/>
      <c r="CZ302" s="1708"/>
      <c r="DA302" s="1708"/>
      <c r="DB302" s="1708"/>
      <c r="DC302" s="1708"/>
      <c r="DD302" s="1708"/>
      <c r="DE302" s="1708"/>
      <c r="DF302" s="1708"/>
      <c r="DG302" s="1708"/>
      <c r="DH302" s="1708"/>
      <c r="DI302" s="1708"/>
      <c r="DJ302" s="1708"/>
      <c r="DK302" s="1708"/>
      <c r="DL302" s="1708"/>
      <c r="DM302" s="1708"/>
      <c r="DN302" s="1708"/>
      <c r="DO302" s="1708"/>
      <c r="DP302" s="1708"/>
      <c r="DQ302" s="1708"/>
      <c r="DR302" s="1708"/>
      <c r="DS302" s="1708"/>
      <c r="DT302" s="1708"/>
      <c r="DU302" s="1708"/>
      <c r="DV302" s="1708"/>
      <c r="DW302" s="1708"/>
      <c r="DX302" s="1708"/>
      <c r="DY302" s="1708"/>
      <c r="DZ302" s="1708"/>
      <c r="EA302" s="1708"/>
      <c r="EB302" s="1708"/>
      <c r="EC302" s="1708"/>
      <c r="ED302" s="1708"/>
      <c r="EE302" s="1708"/>
      <c r="EF302" s="1708"/>
      <c r="EG302" s="1708"/>
      <c r="EH302" s="1708"/>
      <c r="EI302" s="1708"/>
      <c r="EJ302" s="1708"/>
      <c r="EK302" s="1708"/>
      <c r="EL302" s="1708"/>
      <c r="EM302" s="1708"/>
      <c r="EN302" s="1708"/>
      <c r="EO302" s="1708"/>
      <c r="EP302" s="1708"/>
      <c r="EQ302" s="1708"/>
      <c r="ER302" s="1708"/>
      <c r="ES302" s="1708"/>
      <c r="ET302" s="1708"/>
      <c r="EU302" s="1708"/>
      <c r="EV302" s="1708"/>
      <c r="EW302" s="1708"/>
      <c r="EX302" s="1708"/>
      <c r="EY302" s="1708"/>
      <c r="EZ302" s="1708"/>
      <c r="FA302" s="1708"/>
      <c r="FB302" s="1708"/>
      <c r="FC302" s="1708"/>
      <c r="FD302" s="1708"/>
      <c r="FE302" s="1708"/>
      <c r="FF302" s="1708"/>
      <c r="FG302" s="1708"/>
      <c r="FH302" s="1708"/>
      <c r="FI302" s="1708"/>
      <c r="FJ302" s="1708"/>
      <c r="FK302" s="1708"/>
      <c r="FL302" s="1708"/>
      <c r="FM302" s="1708"/>
      <c r="FN302" s="1708"/>
      <c r="FO302" s="1708"/>
      <c r="FP302" s="1708"/>
      <c r="FQ302" s="1708"/>
      <c r="FR302" s="1708"/>
      <c r="FS302" s="1708"/>
      <c r="FT302" s="1708"/>
      <c r="FU302" s="1708"/>
      <c r="FV302" s="1708"/>
      <c r="FW302" s="1708"/>
      <c r="FX302" s="1708"/>
      <c r="FY302" s="1708"/>
      <c r="FZ302" s="1708"/>
      <c r="GA302" s="1708"/>
      <c r="GB302" s="1708"/>
      <c r="GC302" s="1708"/>
      <c r="GD302" s="1708"/>
      <c r="GE302" s="1708"/>
      <c r="GF302" s="1708"/>
      <c r="GG302" s="1708"/>
      <c r="GH302" s="1708"/>
      <c r="GI302" s="1708"/>
      <c r="GJ302" s="1708"/>
      <c r="GK302" s="1708"/>
      <c r="GL302" s="1708"/>
      <c r="GM302" s="1708"/>
      <c r="GN302" s="1708"/>
      <c r="GO302" s="1708"/>
      <c r="GP302" s="1708"/>
      <c r="GQ302" s="1708"/>
      <c r="GR302" s="1708"/>
      <c r="GS302" s="1708"/>
      <c r="GT302" s="1708"/>
      <c r="GU302" s="1708"/>
      <c r="GV302" s="1708"/>
      <c r="GW302" s="1708"/>
      <c r="GX302" s="1708"/>
      <c r="GY302" s="1708"/>
      <c r="GZ302" s="1708"/>
      <c r="HA302" s="1708"/>
      <c r="HB302" s="1708"/>
      <c r="HC302" s="1708"/>
      <c r="HD302" s="1708"/>
      <c r="HE302" s="1708"/>
      <c r="HF302" s="1708"/>
      <c r="HG302" s="1708"/>
      <c r="HH302" s="1708"/>
      <c r="HI302" s="1708"/>
      <c r="HJ302" s="1708"/>
      <c r="HK302" s="1708"/>
      <c r="HL302" s="1708"/>
      <c r="HM302" s="1708"/>
      <c r="HN302" s="1708"/>
      <c r="HO302" s="1708"/>
      <c r="HP302" s="1708"/>
      <c r="HQ302" s="1708"/>
      <c r="HR302" s="1708"/>
      <c r="HS302" s="1708"/>
      <c r="HT302" s="1708"/>
      <c r="HU302" s="1708"/>
      <c r="HV302" s="1708"/>
      <c r="HW302" s="1708"/>
      <c r="HX302" s="1708"/>
      <c r="HY302" s="1708"/>
      <c r="HZ302" s="1708"/>
      <c r="IA302" s="1708"/>
      <c r="IB302" s="1708"/>
      <c r="IC302" s="1708"/>
      <c r="ID302" s="1708"/>
      <c r="IE302" s="1708"/>
      <c r="IF302" s="1708"/>
      <c r="IG302" s="1708"/>
      <c r="IH302" s="1708"/>
      <c r="II302" s="1708"/>
      <c r="IJ302" s="1708"/>
      <c r="IK302" s="1708"/>
      <c r="IL302" s="1708"/>
      <c r="IM302" s="1708"/>
      <c r="IN302" s="1708"/>
      <c r="IO302" s="1708"/>
      <c r="IP302" s="1708"/>
      <c r="IQ302" s="1708"/>
      <c r="IR302" s="1708"/>
      <c r="IS302" s="1708"/>
      <c r="IT302" s="1708"/>
      <c r="IU302" s="1708"/>
      <c r="IV302" s="1708"/>
    </row>
    <row r="303" spans="2:256" s="57" customFormat="1" x14ac:dyDescent="0.25">
      <c r="B303" s="1836"/>
      <c r="G303" s="1849"/>
      <c r="J303" s="1850"/>
      <c r="K303" s="1850"/>
      <c r="S303" s="1708"/>
      <c r="T303" s="1708"/>
      <c r="U303" s="1708"/>
      <c r="V303" s="1708"/>
      <c r="W303" s="1708"/>
      <c r="X303" s="1708"/>
      <c r="Y303" s="1708"/>
      <c r="Z303" s="1708"/>
      <c r="AA303" s="1708"/>
      <c r="AB303" s="1708"/>
      <c r="AC303" s="1708"/>
      <c r="AD303" s="1708"/>
      <c r="AE303" s="1708"/>
      <c r="AF303" s="1708"/>
      <c r="AG303" s="1708"/>
      <c r="AH303" s="1708"/>
      <c r="AI303" s="1708"/>
      <c r="AJ303" s="1708"/>
      <c r="AK303" s="1708"/>
      <c r="AL303" s="1708"/>
      <c r="AM303" s="1708"/>
      <c r="AN303" s="1708"/>
      <c r="AO303" s="1708"/>
      <c r="AP303" s="1708"/>
      <c r="AQ303" s="1708"/>
      <c r="AR303" s="1708"/>
      <c r="AS303" s="1708"/>
      <c r="AT303" s="1708"/>
      <c r="AU303" s="1708"/>
      <c r="AV303" s="1708"/>
      <c r="AW303" s="1708"/>
      <c r="AX303" s="1708"/>
      <c r="AY303" s="1708"/>
      <c r="AZ303" s="1708"/>
      <c r="BA303" s="1708"/>
      <c r="BB303" s="1708"/>
      <c r="BC303" s="1708"/>
      <c r="BD303" s="1708"/>
      <c r="BE303" s="1708"/>
      <c r="BF303" s="1708"/>
      <c r="BG303" s="1708"/>
      <c r="BH303" s="1708"/>
      <c r="BI303" s="1708"/>
      <c r="BJ303" s="1708"/>
      <c r="BK303" s="1708"/>
      <c r="BL303" s="1708"/>
      <c r="BM303" s="1708"/>
      <c r="BN303" s="1708"/>
      <c r="BO303" s="1708"/>
      <c r="BP303" s="1708"/>
      <c r="BQ303" s="1708"/>
      <c r="BR303" s="1708"/>
      <c r="BS303" s="1708"/>
      <c r="BT303" s="1708"/>
      <c r="BU303" s="1708"/>
      <c r="BV303" s="1708"/>
      <c r="BW303" s="1708"/>
      <c r="BX303" s="1708"/>
      <c r="BY303" s="1708"/>
      <c r="BZ303" s="1708"/>
      <c r="CA303" s="1708"/>
      <c r="CB303" s="1708"/>
      <c r="CC303" s="1708"/>
      <c r="CD303" s="1708"/>
      <c r="CE303" s="1708"/>
      <c r="CF303" s="1708"/>
      <c r="CG303" s="1708"/>
      <c r="CH303" s="1708"/>
      <c r="CI303" s="1708"/>
      <c r="CJ303" s="1708"/>
      <c r="CK303" s="1708"/>
      <c r="CL303" s="1708"/>
      <c r="CM303" s="1708"/>
      <c r="CN303" s="1708"/>
      <c r="CO303" s="1708"/>
      <c r="CP303" s="1708"/>
      <c r="CQ303" s="1708"/>
      <c r="CR303" s="1708"/>
      <c r="CS303" s="1708"/>
      <c r="CT303" s="1708"/>
      <c r="CU303" s="1708"/>
      <c r="CV303" s="1708"/>
      <c r="CW303" s="1708"/>
      <c r="CX303" s="1708"/>
      <c r="CY303" s="1708"/>
      <c r="CZ303" s="1708"/>
      <c r="DA303" s="1708"/>
      <c r="DB303" s="1708"/>
      <c r="DC303" s="1708"/>
      <c r="DD303" s="1708"/>
      <c r="DE303" s="1708"/>
      <c r="DF303" s="1708"/>
      <c r="DG303" s="1708"/>
      <c r="DH303" s="1708"/>
      <c r="DI303" s="1708"/>
      <c r="DJ303" s="1708"/>
      <c r="DK303" s="1708"/>
      <c r="DL303" s="1708"/>
      <c r="DM303" s="1708"/>
      <c r="DN303" s="1708"/>
      <c r="DO303" s="1708"/>
      <c r="DP303" s="1708"/>
      <c r="DQ303" s="1708"/>
      <c r="DR303" s="1708"/>
      <c r="DS303" s="1708"/>
      <c r="DT303" s="1708"/>
      <c r="DU303" s="1708"/>
      <c r="DV303" s="1708"/>
      <c r="DW303" s="1708"/>
      <c r="DX303" s="1708"/>
      <c r="DY303" s="1708"/>
      <c r="DZ303" s="1708"/>
      <c r="EA303" s="1708"/>
      <c r="EB303" s="1708"/>
      <c r="EC303" s="1708"/>
      <c r="ED303" s="1708"/>
      <c r="EE303" s="1708"/>
      <c r="EF303" s="1708"/>
      <c r="EG303" s="1708"/>
      <c r="EH303" s="1708"/>
      <c r="EI303" s="1708"/>
      <c r="EJ303" s="1708"/>
      <c r="EK303" s="1708"/>
      <c r="EL303" s="1708"/>
      <c r="EM303" s="1708"/>
      <c r="EN303" s="1708"/>
      <c r="EO303" s="1708"/>
      <c r="EP303" s="1708"/>
      <c r="EQ303" s="1708"/>
      <c r="ER303" s="1708"/>
      <c r="ES303" s="1708"/>
      <c r="ET303" s="1708"/>
      <c r="EU303" s="1708"/>
      <c r="EV303" s="1708"/>
      <c r="EW303" s="1708"/>
      <c r="EX303" s="1708"/>
      <c r="EY303" s="1708"/>
      <c r="EZ303" s="1708"/>
      <c r="FA303" s="1708"/>
      <c r="FB303" s="1708"/>
      <c r="FC303" s="1708"/>
      <c r="FD303" s="1708"/>
      <c r="FE303" s="1708"/>
      <c r="FF303" s="1708"/>
      <c r="FG303" s="1708"/>
      <c r="FH303" s="1708"/>
      <c r="FI303" s="1708"/>
      <c r="FJ303" s="1708"/>
      <c r="FK303" s="1708"/>
      <c r="FL303" s="1708"/>
      <c r="FM303" s="1708"/>
      <c r="FN303" s="1708"/>
      <c r="FO303" s="1708"/>
      <c r="FP303" s="1708"/>
      <c r="FQ303" s="1708"/>
      <c r="FR303" s="1708"/>
      <c r="FS303" s="1708"/>
      <c r="FT303" s="1708"/>
      <c r="FU303" s="1708"/>
      <c r="FV303" s="1708"/>
      <c r="FW303" s="1708"/>
      <c r="FX303" s="1708"/>
      <c r="FY303" s="1708"/>
      <c r="FZ303" s="1708"/>
      <c r="GA303" s="1708"/>
      <c r="GB303" s="1708"/>
      <c r="GC303" s="1708"/>
      <c r="GD303" s="1708"/>
      <c r="GE303" s="1708"/>
      <c r="GF303" s="1708"/>
      <c r="GG303" s="1708"/>
      <c r="GH303" s="1708"/>
      <c r="GI303" s="1708"/>
      <c r="GJ303" s="1708"/>
      <c r="GK303" s="1708"/>
      <c r="GL303" s="1708"/>
      <c r="GM303" s="1708"/>
      <c r="GN303" s="1708"/>
      <c r="GO303" s="1708"/>
      <c r="GP303" s="1708"/>
      <c r="GQ303" s="1708"/>
      <c r="GR303" s="1708"/>
      <c r="GS303" s="1708"/>
      <c r="GT303" s="1708"/>
      <c r="GU303" s="1708"/>
      <c r="GV303" s="1708"/>
      <c r="GW303" s="1708"/>
      <c r="GX303" s="1708"/>
      <c r="GY303" s="1708"/>
      <c r="GZ303" s="1708"/>
      <c r="HA303" s="1708"/>
      <c r="HB303" s="1708"/>
      <c r="HC303" s="1708"/>
      <c r="HD303" s="1708"/>
      <c r="HE303" s="1708"/>
      <c r="HF303" s="1708"/>
      <c r="HG303" s="1708"/>
      <c r="HH303" s="1708"/>
      <c r="HI303" s="1708"/>
      <c r="HJ303" s="1708"/>
      <c r="HK303" s="1708"/>
      <c r="HL303" s="1708"/>
      <c r="HM303" s="1708"/>
      <c r="HN303" s="1708"/>
      <c r="HO303" s="1708"/>
      <c r="HP303" s="1708"/>
      <c r="HQ303" s="1708"/>
      <c r="HR303" s="1708"/>
      <c r="HS303" s="1708"/>
      <c r="HT303" s="1708"/>
      <c r="HU303" s="1708"/>
      <c r="HV303" s="1708"/>
      <c r="HW303" s="1708"/>
      <c r="HX303" s="1708"/>
      <c r="HY303" s="1708"/>
      <c r="HZ303" s="1708"/>
      <c r="IA303" s="1708"/>
      <c r="IB303" s="1708"/>
      <c r="IC303" s="1708"/>
      <c r="ID303" s="1708"/>
      <c r="IE303" s="1708"/>
      <c r="IF303" s="1708"/>
      <c r="IG303" s="1708"/>
      <c r="IH303" s="1708"/>
      <c r="II303" s="1708"/>
      <c r="IJ303" s="1708"/>
      <c r="IK303" s="1708"/>
      <c r="IL303" s="1708"/>
      <c r="IM303" s="1708"/>
      <c r="IN303" s="1708"/>
      <c r="IO303" s="1708"/>
      <c r="IP303" s="1708"/>
      <c r="IQ303" s="1708"/>
      <c r="IR303" s="1708"/>
      <c r="IS303" s="1708"/>
      <c r="IT303" s="1708"/>
      <c r="IU303" s="1708"/>
      <c r="IV303" s="1708"/>
    </row>
    <row r="304" spans="2:256" s="57" customFormat="1" x14ac:dyDescent="0.25">
      <c r="B304" s="1836"/>
      <c r="G304" s="1849"/>
      <c r="J304" s="1850"/>
      <c r="K304" s="1850"/>
      <c r="S304" s="1708"/>
      <c r="T304" s="1708"/>
      <c r="U304" s="1708"/>
      <c r="V304" s="1708"/>
      <c r="W304" s="1708"/>
      <c r="X304" s="1708"/>
      <c r="Y304" s="1708"/>
      <c r="Z304" s="1708"/>
      <c r="AA304" s="1708"/>
      <c r="AB304" s="1708"/>
      <c r="AC304" s="1708"/>
      <c r="AD304" s="1708"/>
      <c r="AE304" s="1708"/>
      <c r="AF304" s="1708"/>
      <c r="AG304" s="1708"/>
      <c r="AH304" s="1708"/>
      <c r="AI304" s="1708"/>
      <c r="AJ304" s="1708"/>
      <c r="AK304" s="1708"/>
      <c r="AL304" s="1708"/>
      <c r="AM304" s="1708"/>
      <c r="AN304" s="1708"/>
      <c r="AO304" s="1708"/>
      <c r="AP304" s="1708"/>
      <c r="AQ304" s="1708"/>
      <c r="AR304" s="1708"/>
      <c r="AS304" s="1708"/>
      <c r="AT304" s="1708"/>
      <c r="AU304" s="1708"/>
      <c r="AV304" s="1708"/>
      <c r="AW304" s="1708"/>
      <c r="AX304" s="1708"/>
      <c r="AY304" s="1708"/>
      <c r="AZ304" s="1708"/>
      <c r="BA304" s="1708"/>
      <c r="BB304" s="1708"/>
      <c r="BC304" s="1708"/>
      <c r="BD304" s="1708"/>
      <c r="BE304" s="1708"/>
      <c r="BF304" s="1708"/>
      <c r="BG304" s="1708"/>
      <c r="BH304" s="1708"/>
      <c r="BI304" s="1708"/>
      <c r="BJ304" s="1708"/>
      <c r="BK304" s="1708"/>
      <c r="BL304" s="1708"/>
      <c r="BM304" s="1708"/>
      <c r="BN304" s="1708"/>
      <c r="BO304" s="1708"/>
      <c r="BP304" s="1708"/>
      <c r="BQ304" s="1708"/>
      <c r="BR304" s="1708"/>
      <c r="BS304" s="1708"/>
      <c r="BT304" s="1708"/>
      <c r="BU304" s="1708"/>
      <c r="BV304" s="1708"/>
      <c r="BW304" s="1708"/>
      <c r="BX304" s="1708"/>
      <c r="BY304" s="1708"/>
      <c r="BZ304" s="1708"/>
      <c r="CA304" s="1708"/>
      <c r="CB304" s="1708"/>
      <c r="CC304" s="1708"/>
      <c r="CD304" s="1708"/>
      <c r="CE304" s="1708"/>
      <c r="CF304" s="1708"/>
      <c r="CG304" s="1708"/>
      <c r="CH304" s="1708"/>
      <c r="CI304" s="1708"/>
      <c r="CJ304" s="1708"/>
      <c r="CK304" s="1708"/>
      <c r="CL304" s="1708"/>
      <c r="CM304" s="1708"/>
      <c r="CN304" s="1708"/>
      <c r="CO304" s="1708"/>
      <c r="CP304" s="1708"/>
      <c r="CQ304" s="1708"/>
      <c r="CR304" s="1708"/>
      <c r="CS304" s="1708"/>
      <c r="CT304" s="1708"/>
      <c r="CU304" s="1708"/>
      <c r="CV304" s="1708"/>
      <c r="CW304" s="1708"/>
      <c r="CX304" s="1708"/>
      <c r="CY304" s="1708"/>
      <c r="CZ304" s="1708"/>
      <c r="DA304" s="1708"/>
      <c r="DB304" s="1708"/>
      <c r="DC304" s="1708"/>
      <c r="DD304" s="1708"/>
      <c r="DE304" s="1708"/>
      <c r="DF304" s="1708"/>
      <c r="DG304" s="1708"/>
      <c r="DH304" s="1708"/>
      <c r="DI304" s="1708"/>
      <c r="DJ304" s="1708"/>
      <c r="DK304" s="1708"/>
      <c r="DL304" s="1708"/>
      <c r="DM304" s="1708"/>
      <c r="DN304" s="1708"/>
      <c r="DO304" s="1708"/>
      <c r="DP304" s="1708"/>
      <c r="DQ304" s="1708"/>
      <c r="DR304" s="1708"/>
      <c r="DS304" s="1708"/>
      <c r="DT304" s="1708"/>
      <c r="DU304" s="1708"/>
      <c r="DV304" s="1708"/>
      <c r="DW304" s="1708"/>
      <c r="DX304" s="1708"/>
      <c r="DY304" s="1708"/>
      <c r="DZ304" s="1708"/>
      <c r="EA304" s="1708"/>
      <c r="EB304" s="1708"/>
      <c r="EC304" s="1708"/>
      <c r="ED304" s="1708"/>
      <c r="EE304" s="1708"/>
      <c r="EF304" s="1708"/>
      <c r="EG304" s="1708"/>
      <c r="EH304" s="1708"/>
      <c r="EI304" s="1708"/>
      <c r="EJ304" s="1708"/>
      <c r="EK304" s="1708"/>
      <c r="EL304" s="1708"/>
      <c r="EM304" s="1708"/>
      <c r="EN304" s="1708"/>
      <c r="EO304" s="1708"/>
      <c r="EP304" s="1708"/>
      <c r="EQ304" s="1708"/>
      <c r="ER304" s="1708"/>
      <c r="ES304" s="1708"/>
      <c r="ET304" s="1708"/>
      <c r="EU304" s="1708"/>
      <c r="EV304" s="1708"/>
      <c r="EW304" s="1708"/>
      <c r="EX304" s="1708"/>
      <c r="EY304" s="1708"/>
      <c r="EZ304" s="1708"/>
      <c r="FA304" s="1708"/>
      <c r="FB304" s="1708"/>
      <c r="FC304" s="1708"/>
      <c r="FD304" s="1708"/>
      <c r="FE304" s="1708"/>
      <c r="FF304" s="1708"/>
      <c r="FG304" s="1708"/>
      <c r="FH304" s="1708"/>
      <c r="FI304" s="1708"/>
      <c r="FJ304" s="1708"/>
      <c r="FK304" s="1708"/>
      <c r="FL304" s="1708"/>
      <c r="FM304" s="1708"/>
      <c r="FN304" s="1708"/>
      <c r="FO304" s="1708"/>
      <c r="FP304" s="1708"/>
      <c r="FQ304" s="1708"/>
      <c r="FR304" s="1708"/>
      <c r="FS304" s="1708"/>
      <c r="FT304" s="1708"/>
      <c r="FU304" s="1708"/>
      <c r="FV304" s="1708"/>
      <c r="FW304" s="1708"/>
      <c r="FX304" s="1708"/>
      <c r="FY304" s="1708"/>
      <c r="FZ304" s="1708"/>
      <c r="GA304" s="1708"/>
      <c r="GB304" s="1708"/>
      <c r="GC304" s="1708"/>
      <c r="GD304" s="1708"/>
      <c r="GE304" s="1708"/>
      <c r="GF304" s="1708"/>
      <c r="GG304" s="1708"/>
      <c r="GH304" s="1708"/>
      <c r="GI304" s="1708"/>
      <c r="GJ304" s="1708"/>
      <c r="GK304" s="1708"/>
      <c r="GL304" s="1708"/>
      <c r="GM304" s="1708"/>
      <c r="GN304" s="1708"/>
      <c r="GO304" s="1708"/>
      <c r="GP304" s="1708"/>
      <c r="GQ304" s="1708"/>
      <c r="GR304" s="1708"/>
      <c r="GS304" s="1708"/>
      <c r="GT304" s="1708"/>
      <c r="GU304" s="1708"/>
      <c r="GV304" s="1708"/>
      <c r="GW304" s="1708"/>
      <c r="GX304" s="1708"/>
      <c r="GY304" s="1708"/>
      <c r="GZ304" s="1708"/>
      <c r="HA304" s="1708"/>
      <c r="HB304" s="1708"/>
      <c r="HC304" s="1708"/>
      <c r="HD304" s="1708"/>
      <c r="HE304" s="1708"/>
      <c r="HF304" s="1708"/>
      <c r="HG304" s="1708"/>
      <c r="HH304" s="1708"/>
      <c r="HI304" s="1708"/>
      <c r="HJ304" s="1708"/>
      <c r="HK304" s="1708"/>
      <c r="HL304" s="1708"/>
      <c r="HM304" s="1708"/>
      <c r="HN304" s="1708"/>
      <c r="HO304" s="1708"/>
      <c r="HP304" s="1708"/>
      <c r="HQ304" s="1708"/>
      <c r="HR304" s="1708"/>
      <c r="HS304" s="1708"/>
      <c r="HT304" s="1708"/>
      <c r="HU304" s="1708"/>
      <c r="HV304" s="1708"/>
      <c r="HW304" s="1708"/>
      <c r="HX304" s="1708"/>
      <c r="HY304" s="1708"/>
      <c r="HZ304" s="1708"/>
      <c r="IA304" s="1708"/>
      <c r="IB304" s="1708"/>
      <c r="IC304" s="1708"/>
      <c r="ID304" s="1708"/>
      <c r="IE304" s="1708"/>
      <c r="IF304" s="1708"/>
      <c r="IG304" s="1708"/>
      <c r="IH304" s="1708"/>
      <c r="II304" s="1708"/>
      <c r="IJ304" s="1708"/>
      <c r="IK304" s="1708"/>
      <c r="IL304" s="1708"/>
      <c r="IM304" s="1708"/>
      <c r="IN304" s="1708"/>
      <c r="IO304" s="1708"/>
      <c r="IP304" s="1708"/>
      <c r="IQ304" s="1708"/>
      <c r="IR304" s="1708"/>
      <c r="IS304" s="1708"/>
      <c r="IT304" s="1708"/>
      <c r="IU304" s="1708"/>
      <c r="IV304" s="1708"/>
    </row>
    <row r="305" spans="2:256" s="57" customFormat="1" x14ac:dyDescent="0.25">
      <c r="B305" s="1836"/>
      <c r="G305" s="1849"/>
      <c r="J305" s="1850"/>
      <c r="K305" s="1850"/>
      <c r="S305" s="1708"/>
      <c r="T305" s="1708"/>
      <c r="U305" s="1708"/>
      <c r="V305" s="1708"/>
      <c r="W305" s="1708"/>
      <c r="X305" s="1708"/>
      <c r="Y305" s="1708"/>
      <c r="Z305" s="1708"/>
      <c r="AA305" s="1708"/>
      <c r="AB305" s="1708"/>
      <c r="AC305" s="1708"/>
      <c r="AD305" s="1708"/>
      <c r="AE305" s="1708"/>
      <c r="AF305" s="1708"/>
      <c r="AG305" s="1708"/>
      <c r="AH305" s="1708"/>
      <c r="AI305" s="1708"/>
      <c r="AJ305" s="1708"/>
      <c r="AK305" s="1708"/>
      <c r="AL305" s="1708"/>
      <c r="AM305" s="1708"/>
      <c r="AN305" s="1708"/>
      <c r="AO305" s="1708"/>
      <c r="AP305" s="1708"/>
      <c r="AQ305" s="1708"/>
      <c r="AR305" s="1708"/>
      <c r="AS305" s="1708"/>
      <c r="AT305" s="1708"/>
      <c r="AU305" s="1708"/>
      <c r="AV305" s="1708"/>
      <c r="AW305" s="1708"/>
      <c r="AX305" s="1708"/>
      <c r="AY305" s="1708"/>
      <c r="AZ305" s="1708"/>
      <c r="BA305" s="1708"/>
      <c r="BB305" s="1708"/>
      <c r="BC305" s="1708"/>
      <c r="BD305" s="1708"/>
      <c r="BE305" s="1708"/>
      <c r="BF305" s="1708"/>
      <c r="BG305" s="1708"/>
      <c r="BH305" s="1708"/>
      <c r="BI305" s="1708"/>
      <c r="BJ305" s="1708"/>
      <c r="BK305" s="1708"/>
      <c r="BL305" s="1708"/>
      <c r="BM305" s="1708"/>
      <c r="BN305" s="1708"/>
      <c r="BO305" s="1708"/>
      <c r="BP305" s="1708"/>
      <c r="BQ305" s="1708"/>
      <c r="BR305" s="1708"/>
      <c r="BS305" s="1708"/>
      <c r="BT305" s="1708"/>
      <c r="BU305" s="1708"/>
      <c r="BV305" s="1708"/>
      <c r="BW305" s="1708"/>
      <c r="BX305" s="1708"/>
      <c r="BY305" s="1708"/>
      <c r="BZ305" s="1708"/>
      <c r="CA305" s="1708"/>
      <c r="CB305" s="1708"/>
      <c r="CC305" s="1708"/>
      <c r="CD305" s="1708"/>
      <c r="CE305" s="1708"/>
      <c r="CF305" s="1708"/>
      <c r="CG305" s="1708"/>
      <c r="CH305" s="1708"/>
      <c r="CI305" s="1708"/>
      <c r="CJ305" s="1708"/>
      <c r="CK305" s="1708"/>
      <c r="CL305" s="1708"/>
      <c r="CM305" s="1708"/>
      <c r="CN305" s="1708"/>
      <c r="CO305" s="1708"/>
      <c r="CP305" s="1708"/>
      <c r="CQ305" s="1708"/>
      <c r="CR305" s="1708"/>
      <c r="CS305" s="1708"/>
      <c r="CT305" s="1708"/>
      <c r="CU305" s="1708"/>
      <c r="CV305" s="1708"/>
      <c r="CW305" s="1708"/>
      <c r="CX305" s="1708"/>
      <c r="CY305" s="1708"/>
      <c r="CZ305" s="1708"/>
      <c r="DA305" s="1708"/>
      <c r="DB305" s="1708"/>
      <c r="DC305" s="1708"/>
      <c r="DD305" s="1708"/>
      <c r="DE305" s="1708"/>
      <c r="DF305" s="1708"/>
      <c r="DG305" s="1708"/>
      <c r="DH305" s="1708"/>
      <c r="DI305" s="1708"/>
      <c r="DJ305" s="1708"/>
      <c r="DK305" s="1708"/>
      <c r="DL305" s="1708"/>
      <c r="DM305" s="1708"/>
      <c r="DN305" s="1708"/>
      <c r="DO305" s="1708"/>
      <c r="DP305" s="1708"/>
      <c r="DQ305" s="1708"/>
      <c r="DR305" s="1708"/>
      <c r="DS305" s="1708"/>
      <c r="DT305" s="1708"/>
      <c r="DU305" s="1708"/>
      <c r="DV305" s="1708"/>
      <c r="DW305" s="1708"/>
      <c r="DX305" s="1708"/>
      <c r="DY305" s="1708"/>
      <c r="DZ305" s="1708"/>
      <c r="EA305" s="1708"/>
      <c r="EB305" s="1708"/>
      <c r="EC305" s="1708"/>
      <c r="ED305" s="1708"/>
      <c r="EE305" s="1708"/>
      <c r="EF305" s="1708"/>
      <c r="EG305" s="1708"/>
      <c r="EH305" s="1708"/>
      <c r="EI305" s="1708"/>
      <c r="EJ305" s="1708"/>
      <c r="EK305" s="1708"/>
      <c r="EL305" s="1708"/>
      <c r="EM305" s="1708"/>
      <c r="EN305" s="1708"/>
      <c r="EO305" s="1708"/>
      <c r="EP305" s="1708"/>
      <c r="EQ305" s="1708"/>
      <c r="ER305" s="1708"/>
      <c r="ES305" s="1708"/>
      <c r="ET305" s="1708"/>
      <c r="EU305" s="1708"/>
      <c r="EV305" s="1708"/>
      <c r="EW305" s="1708"/>
      <c r="EX305" s="1708"/>
      <c r="EY305" s="1708"/>
      <c r="EZ305" s="1708"/>
      <c r="FA305" s="1708"/>
      <c r="FB305" s="1708"/>
      <c r="FC305" s="1708"/>
      <c r="FD305" s="1708"/>
      <c r="FE305" s="1708"/>
      <c r="FF305" s="1708"/>
      <c r="FG305" s="1708"/>
      <c r="FH305" s="1708"/>
      <c r="FI305" s="1708"/>
      <c r="FJ305" s="1708"/>
      <c r="FK305" s="1708"/>
      <c r="FL305" s="1708"/>
      <c r="FM305" s="1708"/>
      <c r="FN305" s="1708"/>
      <c r="FO305" s="1708"/>
      <c r="FP305" s="1708"/>
      <c r="FQ305" s="1708"/>
      <c r="FR305" s="1708"/>
      <c r="FS305" s="1708"/>
      <c r="FT305" s="1708"/>
      <c r="FU305" s="1708"/>
      <c r="FV305" s="1708"/>
      <c r="FW305" s="1708"/>
      <c r="FX305" s="1708"/>
      <c r="FY305" s="1708"/>
      <c r="FZ305" s="1708"/>
      <c r="GA305" s="1708"/>
      <c r="GB305" s="1708"/>
      <c r="GC305" s="1708"/>
      <c r="GD305" s="1708"/>
      <c r="GE305" s="1708"/>
      <c r="GF305" s="1708"/>
      <c r="GG305" s="1708"/>
      <c r="GH305" s="1708"/>
      <c r="GI305" s="1708"/>
      <c r="GJ305" s="1708"/>
      <c r="GK305" s="1708"/>
      <c r="GL305" s="1708"/>
      <c r="GM305" s="1708"/>
      <c r="GN305" s="1708"/>
      <c r="GO305" s="1708"/>
      <c r="GP305" s="1708"/>
      <c r="GQ305" s="1708"/>
      <c r="GR305" s="1708"/>
      <c r="GS305" s="1708"/>
      <c r="GT305" s="1708"/>
      <c r="GU305" s="1708"/>
      <c r="GV305" s="1708"/>
      <c r="GW305" s="1708"/>
      <c r="GX305" s="1708"/>
      <c r="GY305" s="1708"/>
      <c r="GZ305" s="1708"/>
      <c r="HA305" s="1708"/>
      <c r="HB305" s="1708"/>
      <c r="HC305" s="1708"/>
      <c r="HD305" s="1708"/>
      <c r="HE305" s="1708"/>
      <c r="HF305" s="1708"/>
      <c r="HG305" s="1708"/>
      <c r="HH305" s="1708"/>
      <c r="HI305" s="1708"/>
      <c r="HJ305" s="1708"/>
      <c r="HK305" s="1708"/>
      <c r="HL305" s="1708"/>
      <c r="HM305" s="1708"/>
      <c r="HN305" s="1708"/>
      <c r="HO305" s="1708"/>
      <c r="HP305" s="1708"/>
      <c r="HQ305" s="1708"/>
      <c r="HR305" s="1708"/>
      <c r="HS305" s="1708"/>
      <c r="HT305" s="1708"/>
      <c r="HU305" s="1708"/>
      <c r="HV305" s="1708"/>
      <c r="HW305" s="1708"/>
      <c r="HX305" s="1708"/>
      <c r="HY305" s="1708"/>
      <c r="HZ305" s="1708"/>
      <c r="IA305" s="1708"/>
      <c r="IB305" s="1708"/>
      <c r="IC305" s="1708"/>
      <c r="ID305" s="1708"/>
      <c r="IE305" s="1708"/>
      <c r="IF305" s="1708"/>
      <c r="IG305" s="1708"/>
      <c r="IH305" s="1708"/>
      <c r="II305" s="1708"/>
      <c r="IJ305" s="1708"/>
      <c r="IK305" s="1708"/>
      <c r="IL305" s="1708"/>
      <c r="IM305" s="1708"/>
      <c r="IN305" s="1708"/>
      <c r="IO305" s="1708"/>
      <c r="IP305" s="1708"/>
      <c r="IQ305" s="1708"/>
      <c r="IR305" s="1708"/>
      <c r="IS305" s="1708"/>
      <c r="IT305" s="1708"/>
      <c r="IU305" s="1708"/>
      <c r="IV305" s="1708"/>
    </row>
    <row r="306" spans="2:256" s="57" customFormat="1" x14ac:dyDescent="0.25">
      <c r="B306" s="1836"/>
      <c r="G306" s="1849"/>
      <c r="J306" s="1850"/>
      <c r="K306" s="1850"/>
      <c r="S306" s="1708"/>
      <c r="T306" s="1708"/>
      <c r="U306" s="1708"/>
      <c r="V306" s="1708"/>
      <c r="W306" s="1708"/>
      <c r="X306" s="1708"/>
      <c r="Y306" s="1708"/>
      <c r="Z306" s="1708"/>
      <c r="AA306" s="1708"/>
      <c r="AB306" s="1708"/>
      <c r="AC306" s="1708"/>
      <c r="AD306" s="1708"/>
      <c r="AE306" s="1708"/>
      <c r="AF306" s="1708"/>
      <c r="AG306" s="1708"/>
      <c r="AH306" s="1708"/>
      <c r="AI306" s="1708"/>
      <c r="AJ306" s="1708"/>
      <c r="AK306" s="1708"/>
      <c r="AL306" s="1708"/>
      <c r="AM306" s="1708"/>
      <c r="AN306" s="1708"/>
      <c r="AO306" s="1708"/>
      <c r="AP306" s="1708"/>
      <c r="AQ306" s="1708"/>
      <c r="AR306" s="1708"/>
      <c r="AS306" s="1708"/>
      <c r="AT306" s="1708"/>
      <c r="AU306" s="1708"/>
      <c r="AV306" s="1708"/>
      <c r="AW306" s="1708"/>
      <c r="AX306" s="1708"/>
      <c r="AY306" s="1708"/>
      <c r="AZ306" s="1708"/>
      <c r="BA306" s="1708"/>
      <c r="BB306" s="1708"/>
      <c r="BC306" s="1708"/>
      <c r="BD306" s="1708"/>
      <c r="BE306" s="1708"/>
      <c r="BF306" s="1708"/>
      <c r="BG306" s="1708"/>
      <c r="BH306" s="1708"/>
      <c r="BI306" s="1708"/>
      <c r="BJ306" s="1708"/>
      <c r="BK306" s="1708"/>
      <c r="BL306" s="1708"/>
      <c r="BM306" s="1708"/>
      <c r="BN306" s="1708"/>
      <c r="BO306" s="1708"/>
      <c r="BP306" s="1708"/>
      <c r="BQ306" s="1708"/>
      <c r="BR306" s="1708"/>
      <c r="BS306" s="1708"/>
      <c r="BT306" s="1708"/>
      <c r="BU306" s="1708"/>
      <c r="BV306" s="1708"/>
      <c r="BW306" s="1708"/>
      <c r="BX306" s="1708"/>
      <c r="BY306" s="1708"/>
      <c r="BZ306" s="1708"/>
      <c r="CA306" s="1708"/>
      <c r="CB306" s="1708"/>
      <c r="CC306" s="1708"/>
      <c r="CD306" s="1708"/>
      <c r="CE306" s="1708"/>
      <c r="CF306" s="1708"/>
      <c r="CG306" s="1708"/>
      <c r="CH306" s="1708"/>
      <c r="CI306" s="1708"/>
      <c r="CJ306" s="1708"/>
      <c r="CK306" s="1708"/>
      <c r="CL306" s="1708"/>
      <c r="CM306" s="1708"/>
      <c r="CN306" s="1708"/>
      <c r="CO306" s="1708"/>
      <c r="CP306" s="1708"/>
      <c r="CQ306" s="1708"/>
      <c r="CR306" s="1708"/>
      <c r="CS306" s="1708"/>
      <c r="CT306" s="1708"/>
      <c r="CU306" s="1708"/>
      <c r="CV306" s="1708"/>
      <c r="CW306" s="1708"/>
      <c r="CX306" s="1708"/>
      <c r="CY306" s="1708"/>
      <c r="CZ306" s="1708"/>
      <c r="DA306" s="1708"/>
      <c r="DB306" s="1708"/>
      <c r="DC306" s="1708"/>
      <c r="DD306" s="1708"/>
      <c r="DE306" s="1708"/>
      <c r="DF306" s="1708"/>
      <c r="DG306" s="1708"/>
      <c r="DH306" s="1708"/>
      <c r="DI306" s="1708"/>
      <c r="DJ306" s="1708"/>
      <c r="DK306" s="1708"/>
      <c r="DL306" s="1708"/>
      <c r="DM306" s="1708"/>
      <c r="DN306" s="1708"/>
      <c r="DO306" s="1708"/>
      <c r="DP306" s="1708"/>
      <c r="DQ306" s="1708"/>
      <c r="DR306" s="1708"/>
      <c r="DS306" s="1708"/>
      <c r="DT306" s="1708"/>
      <c r="DU306" s="1708"/>
      <c r="DV306" s="1708"/>
      <c r="DW306" s="1708"/>
      <c r="DX306" s="1708"/>
      <c r="DY306" s="1708"/>
      <c r="DZ306" s="1708"/>
      <c r="EA306" s="1708"/>
      <c r="EB306" s="1708"/>
      <c r="EC306" s="1708"/>
      <c r="ED306" s="1708"/>
      <c r="EE306" s="1708"/>
      <c r="EF306" s="1708"/>
      <c r="EG306" s="1708"/>
      <c r="EH306" s="1708"/>
      <c r="EI306" s="1708"/>
      <c r="EJ306" s="1708"/>
      <c r="EK306" s="1708"/>
      <c r="EL306" s="1708"/>
      <c r="EM306" s="1708"/>
      <c r="EN306" s="1708"/>
      <c r="EO306" s="1708"/>
      <c r="EP306" s="1708"/>
      <c r="EQ306" s="1708"/>
      <c r="ER306" s="1708"/>
      <c r="ES306" s="1708"/>
      <c r="ET306" s="1708"/>
      <c r="EU306" s="1708"/>
      <c r="EV306" s="1708"/>
      <c r="EW306" s="1708"/>
      <c r="EX306" s="1708"/>
      <c r="EY306" s="1708"/>
      <c r="EZ306" s="1708"/>
      <c r="FA306" s="1708"/>
      <c r="FB306" s="1708"/>
      <c r="FC306" s="1708"/>
      <c r="FD306" s="1708"/>
      <c r="FE306" s="1708"/>
      <c r="FF306" s="1708"/>
      <c r="FG306" s="1708"/>
      <c r="FH306" s="1708"/>
      <c r="FI306" s="1708"/>
      <c r="FJ306" s="1708"/>
      <c r="FK306" s="1708"/>
      <c r="FL306" s="1708"/>
      <c r="FM306" s="1708"/>
      <c r="FN306" s="1708"/>
      <c r="FO306" s="1708"/>
      <c r="FP306" s="1708"/>
      <c r="FQ306" s="1708"/>
      <c r="FR306" s="1708"/>
      <c r="FS306" s="1708"/>
      <c r="FT306" s="1708"/>
      <c r="FU306" s="1708"/>
      <c r="FV306" s="1708"/>
      <c r="FW306" s="1708"/>
      <c r="FX306" s="1708"/>
      <c r="FY306" s="1708"/>
      <c r="FZ306" s="1708"/>
      <c r="GA306" s="1708"/>
      <c r="GB306" s="1708"/>
      <c r="GC306" s="1708"/>
      <c r="GD306" s="1708"/>
      <c r="GE306" s="1708"/>
      <c r="GF306" s="1708"/>
      <c r="GG306" s="1708"/>
      <c r="GH306" s="1708"/>
      <c r="GI306" s="1708"/>
      <c r="GJ306" s="1708"/>
      <c r="GK306" s="1708"/>
      <c r="GL306" s="1708"/>
      <c r="GM306" s="1708"/>
      <c r="GN306" s="1708"/>
      <c r="GO306" s="1708"/>
      <c r="GP306" s="1708"/>
      <c r="GQ306" s="1708"/>
      <c r="GR306" s="1708"/>
      <c r="GS306" s="1708"/>
      <c r="GT306" s="1708"/>
      <c r="GU306" s="1708"/>
      <c r="GV306" s="1708"/>
      <c r="GW306" s="1708"/>
      <c r="GX306" s="1708"/>
      <c r="GY306" s="1708"/>
      <c r="GZ306" s="1708"/>
      <c r="HA306" s="1708"/>
      <c r="HB306" s="1708"/>
      <c r="HC306" s="1708"/>
      <c r="HD306" s="1708"/>
      <c r="HE306" s="1708"/>
      <c r="HF306" s="1708"/>
      <c r="HG306" s="1708"/>
      <c r="HH306" s="1708"/>
      <c r="HI306" s="1708"/>
      <c r="HJ306" s="1708"/>
      <c r="HK306" s="1708"/>
      <c r="HL306" s="1708"/>
      <c r="HM306" s="1708"/>
      <c r="HN306" s="1708"/>
      <c r="HO306" s="1708"/>
      <c r="HP306" s="1708"/>
      <c r="HQ306" s="1708"/>
      <c r="HR306" s="1708"/>
      <c r="HS306" s="1708"/>
      <c r="HT306" s="1708"/>
      <c r="HU306" s="1708"/>
      <c r="HV306" s="1708"/>
      <c r="HW306" s="1708"/>
      <c r="HX306" s="1708"/>
      <c r="HY306" s="1708"/>
      <c r="HZ306" s="1708"/>
      <c r="IA306" s="1708"/>
      <c r="IB306" s="1708"/>
      <c r="IC306" s="1708"/>
      <c r="ID306" s="1708"/>
      <c r="IE306" s="1708"/>
      <c r="IF306" s="1708"/>
      <c r="IG306" s="1708"/>
      <c r="IH306" s="1708"/>
      <c r="II306" s="1708"/>
      <c r="IJ306" s="1708"/>
      <c r="IK306" s="1708"/>
      <c r="IL306" s="1708"/>
      <c r="IM306" s="1708"/>
      <c r="IN306" s="1708"/>
      <c r="IO306" s="1708"/>
      <c r="IP306" s="1708"/>
      <c r="IQ306" s="1708"/>
      <c r="IR306" s="1708"/>
      <c r="IS306" s="1708"/>
      <c r="IT306" s="1708"/>
      <c r="IU306" s="1708"/>
      <c r="IV306" s="1708"/>
    </row>
    <row r="307" spans="2:256" s="57" customFormat="1" x14ac:dyDescent="0.25">
      <c r="B307" s="1836"/>
      <c r="G307" s="1849"/>
      <c r="J307" s="1850"/>
      <c r="K307" s="1850"/>
      <c r="S307" s="1708"/>
      <c r="T307" s="1708"/>
      <c r="U307" s="1708"/>
      <c r="V307" s="1708"/>
      <c r="W307" s="1708"/>
      <c r="X307" s="1708"/>
      <c r="Y307" s="1708"/>
      <c r="Z307" s="1708"/>
      <c r="AA307" s="1708"/>
      <c r="AB307" s="1708"/>
      <c r="AC307" s="1708"/>
      <c r="AD307" s="1708"/>
      <c r="AE307" s="1708"/>
      <c r="AF307" s="1708"/>
      <c r="AG307" s="1708"/>
      <c r="AH307" s="1708"/>
      <c r="AI307" s="1708"/>
      <c r="AJ307" s="1708"/>
      <c r="AK307" s="1708"/>
      <c r="AL307" s="1708"/>
      <c r="AM307" s="1708"/>
      <c r="AN307" s="1708"/>
      <c r="AO307" s="1708"/>
      <c r="AP307" s="1708"/>
      <c r="AQ307" s="1708"/>
      <c r="AR307" s="1708"/>
      <c r="AS307" s="1708"/>
      <c r="AT307" s="1708"/>
      <c r="AU307" s="1708"/>
      <c r="AV307" s="1708"/>
      <c r="AW307" s="1708"/>
      <c r="AX307" s="1708"/>
      <c r="AY307" s="1708"/>
      <c r="AZ307" s="1708"/>
      <c r="BA307" s="1708"/>
      <c r="BB307" s="1708"/>
      <c r="BC307" s="1708"/>
      <c r="BD307" s="1708"/>
      <c r="BE307" s="1708"/>
      <c r="BF307" s="1708"/>
      <c r="BG307" s="1708"/>
      <c r="BH307" s="1708"/>
      <c r="BI307" s="1708"/>
      <c r="BJ307" s="1708"/>
      <c r="BK307" s="1708"/>
      <c r="BL307" s="1708"/>
      <c r="BM307" s="1708"/>
      <c r="BN307" s="1708"/>
      <c r="BO307" s="1708"/>
      <c r="BP307" s="1708"/>
      <c r="BQ307" s="1708"/>
      <c r="BR307" s="1708"/>
      <c r="BS307" s="1708"/>
      <c r="BT307" s="1708"/>
      <c r="BU307" s="1708"/>
      <c r="BV307" s="1708"/>
      <c r="BW307" s="1708"/>
      <c r="BX307" s="1708"/>
      <c r="BY307" s="1708"/>
      <c r="BZ307" s="1708"/>
      <c r="CA307" s="1708"/>
      <c r="CB307" s="1708"/>
      <c r="CC307" s="1708"/>
      <c r="CD307" s="1708"/>
      <c r="CE307" s="1708"/>
      <c r="CF307" s="1708"/>
      <c r="CG307" s="1708"/>
      <c r="CH307" s="1708"/>
      <c r="CI307" s="1708"/>
      <c r="CJ307" s="1708"/>
      <c r="CK307" s="1708"/>
      <c r="CL307" s="1708"/>
      <c r="CM307" s="1708"/>
      <c r="CN307" s="1708"/>
      <c r="CO307" s="1708"/>
      <c r="CP307" s="1708"/>
      <c r="CQ307" s="1708"/>
      <c r="CR307" s="1708"/>
      <c r="CS307" s="1708"/>
      <c r="CT307" s="1708"/>
      <c r="CU307" s="1708"/>
      <c r="CV307" s="1708"/>
      <c r="CW307" s="1708"/>
      <c r="CX307" s="1708"/>
      <c r="CY307" s="1708"/>
      <c r="CZ307" s="1708"/>
      <c r="DA307" s="1708"/>
      <c r="DB307" s="1708"/>
      <c r="DC307" s="1708"/>
      <c r="DD307" s="1708"/>
      <c r="DE307" s="1708"/>
      <c r="DF307" s="1708"/>
      <c r="DG307" s="1708"/>
      <c r="DH307" s="1708"/>
      <c r="DI307" s="1708"/>
      <c r="DJ307" s="1708"/>
      <c r="DK307" s="1708"/>
      <c r="DL307" s="1708"/>
      <c r="DM307" s="1708"/>
      <c r="DN307" s="1708"/>
      <c r="DO307" s="1708"/>
      <c r="DP307" s="1708"/>
      <c r="DQ307" s="1708"/>
      <c r="DR307" s="1708"/>
      <c r="DS307" s="1708"/>
      <c r="DT307" s="1708"/>
      <c r="DU307" s="1708"/>
      <c r="DV307" s="1708"/>
      <c r="DW307" s="1708"/>
      <c r="DX307" s="1708"/>
      <c r="DY307" s="1708"/>
      <c r="DZ307" s="1708"/>
      <c r="EA307" s="1708"/>
      <c r="EB307" s="1708"/>
      <c r="EC307" s="1708"/>
      <c r="ED307" s="1708"/>
      <c r="EE307" s="1708"/>
      <c r="EF307" s="1708"/>
      <c r="EG307" s="1708"/>
      <c r="EH307" s="1708"/>
      <c r="EI307" s="1708"/>
      <c r="EJ307" s="1708"/>
      <c r="EK307" s="1708"/>
      <c r="EL307" s="1708"/>
      <c r="EM307" s="1708"/>
      <c r="EN307" s="1708"/>
      <c r="EO307" s="1708"/>
      <c r="EP307" s="1708"/>
      <c r="EQ307" s="1708"/>
      <c r="ER307" s="1708"/>
      <c r="ES307" s="1708"/>
      <c r="ET307" s="1708"/>
      <c r="EU307" s="1708"/>
      <c r="EV307" s="1708"/>
      <c r="EW307" s="1708"/>
      <c r="EX307" s="1708"/>
      <c r="EY307" s="1708"/>
      <c r="EZ307" s="1708"/>
      <c r="FA307" s="1708"/>
      <c r="FB307" s="1708"/>
      <c r="FC307" s="1708"/>
      <c r="FD307" s="1708"/>
      <c r="FE307" s="1708"/>
      <c r="FF307" s="1708"/>
      <c r="FG307" s="1708"/>
      <c r="FH307" s="1708"/>
      <c r="FI307" s="1708"/>
      <c r="FJ307" s="1708"/>
      <c r="FK307" s="1708"/>
      <c r="FL307" s="1708"/>
      <c r="FM307" s="1708"/>
      <c r="FN307" s="1708"/>
      <c r="FO307" s="1708"/>
      <c r="FP307" s="1708"/>
      <c r="FQ307" s="1708"/>
      <c r="FR307" s="1708"/>
      <c r="FS307" s="1708"/>
      <c r="FT307" s="1708"/>
      <c r="FU307" s="1708"/>
      <c r="FV307" s="1708"/>
      <c r="FW307" s="1708"/>
      <c r="FX307" s="1708"/>
      <c r="FY307" s="1708"/>
      <c r="FZ307" s="1708"/>
      <c r="GA307" s="1708"/>
      <c r="GB307" s="1708"/>
      <c r="GC307" s="1708"/>
      <c r="GD307" s="1708"/>
      <c r="GE307" s="1708"/>
      <c r="GF307" s="1708"/>
      <c r="GG307" s="1708"/>
      <c r="GH307" s="1708"/>
      <c r="GI307" s="1708"/>
      <c r="GJ307" s="1708"/>
      <c r="GK307" s="1708"/>
      <c r="GL307" s="1708"/>
      <c r="GM307" s="1708"/>
      <c r="GN307" s="1708"/>
      <c r="GO307" s="1708"/>
      <c r="GP307" s="1708"/>
      <c r="GQ307" s="1708"/>
      <c r="GR307" s="1708"/>
      <c r="GS307" s="1708"/>
      <c r="GT307" s="1708"/>
      <c r="GU307" s="1708"/>
      <c r="GV307" s="1708"/>
      <c r="GW307" s="1708"/>
      <c r="GX307" s="1708"/>
      <c r="GY307" s="1708"/>
      <c r="GZ307" s="1708"/>
      <c r="HA307" s="1708"/>
      <c r="HB307" s="1708"/>
      <c r="HC307" s="1708"/>
      <c r="HD307" s="1708"/>
      <c r="HE307" s="1708"/>
      <c r="HF307" s="1708"/>
      <c r="HG307" s="1708"/>
      <c r="HH307" s="1708"/>
      <c r="HI307" s="1708"/>
      <c r="HJ307" s="1708"/>
      <c r="HK307" s="1708"/>
      <c r="HL307" s="1708"/>
      <c r="HM307" s="1708"/>
      <c r="HN307" s="1708"/>
      <c r="HO307" s="1708"/>
      <c r="HP307" s="1708"/>
      <c r="HQ307" s="1708"/>
      <c r="HR307" s="1708"/>
      <c r="HS307" s="1708"/>
      <c r="HT307" s="1708"/>
      <c r="HU307" s="1708"/>
      <c r="HV307" s="1708"/>
      <c r="HW307" s="1708"/>
      <c r="HX307" s="1708"/>
      <c r="HY307" s="1708"/>
      <c r="HZ307" s="1708"/>
      <c r="IA307" s="1708"/>
      <c r="IB307" s="1708"/>
      <c r="IC307" s="1708"/>
      <c r="ID307" s="1708"/>
      <c r="IE307" s="1708"/>
      <c r="IF307" s="1708"/>
      <c r="IG307" s="1708"/>
      <c r="IH307" s="1708"/>
      <c r="II307" s="1708"/>
      <c r="IJ307" s="1708"/>
      <c r="IK307" s="1708"/>
      <c r="IL307" s="1708"/>
      <c r="IM307" s="1708"/>
      <c r="IN307" s="1708"/>
      <c r="IO307" s="1708"/>
      <c r="IP307" s="1708"/>
      <c r="IQ307" s="1708"/>
      <c r="IR307" s="1708"/>
      <c r="IS307" s="1708"/>
      <c r="IT307" s="1708"/>
      <c r="IU307" s="1708"/>
      <c r="IV307" s="1708"/>
    </row>
    <row r="308" spans="2:256" s="57" customFormat="1" x14ac:dyDescent="0.25">
      <c r="B308" s="1836"/>
      <c r="G308" s="1849"/>
      <c r="J308" s="1850"/>
      <c r="K308" s="1850"/>
      <c r="S308" s="1708"/>
      <c r="T308" s="1708"/>
      <c r="U308" s="1708"/>
      <c r="V308" s="1708"/>
      <c r="W308" s="1708"/>
      <c r="X308" s="1708"/>
      <c r="Y308" s="1708"/>
      <c r="Z308" s="1708"/>
      <c r="AA308" s="1708"/>
      <c r="AB308" s="1708"/>
      <c r="AC308" s="1708"/>
      <c r="AD308" s="1708"/>
      <c r="AE308" s="1708"/>
      <c r="AF308" s="1708"/>
      <c r="AG308" s="1708"/>
      <c r="AH308" s="1708"/>
      <c r="AI308" s="1708"/>
      <c r="AJ308" s="1708"/>
      <c r="AK308" s="1708"/>
      <c r="AL308" s="1708"/>
      <c r="AM308" s="1708"/>
      <c r="AN308" s="1708"/>
      <c r="AO308" s="1708"/>
      <c r="AP308" s="1708"/>
      <c r="AQ308" s="1708"/>
      <c r="AR308" s="1708"/>
      <c r="AS308" s="1708"/>
      <c r="AT308" s="1708"/>
      <c r="AU308" s="1708"/>
      <c r="AV308" s="1708"/>
      <c r="AW308" s="1708"/>
      <c r="AX308" s="1708"/>
      <c r="AY308" s="1708"/>
      <c r="AZ308" s="1708"/>
      <c r="BA308" s="1708"/>
      <c r="BB308" s="1708"/>
      <c r="BC308" s="1708"/>
      <c r="BD308" s="1708"/>
      <c r="BE308" s="1708"/>
      <c r="BF308" s="1708"/>
      <c r="BG308" s="1708"/>
      <c r="BH308" s="1708"/>
      <c r="BI308" s="1708"/>
      <c r="BJ308" s="1708"/>
      <c r="BK308" s="1708"/>
      <c r="BL308" s="1708"/>
      <c r="BM308" s="1708"/>
      <c r="BN308" s="1708"/>
      <c r="BO308" s="1708"/>
      <c r="BP308" s="1708"/>
      <c r="BQ308" s="1708"/>
      <c r="BR308" s="1708"/>
      <c r="BS308" s="1708"/>
      <c r="BT308" s="1708"/>
      <c r="BU308" s="1708"/>
      <c r="BV308" s="1708"/>
      <c r="BW308" s="1708"/>
      <c r="BX308" s="1708"/>
      <c r="BY308" s="1708"/>
      <c r="BZ308" s="1708"/>
      <c r="CA308" s="1708"/>
      <c r="CB308" s="1708"/>
      <c r="CC308" s="1708"/>
      <c r="CD308" s="1708"/>
      <c r="CE308" s="1708"/>
      <c r="CF308" s="1708"/>
      <c r="CG308" s="1708"/>
      <c r="CH308" s="1708"/>
      <c r="CI308" s="1708"/>
      <c r="CJ308" s="1708"/>
      <c r="CK308" s="1708"/>
      <c r="CL308" s="1708"/>
      <c r="CM308" s="1708"/>
      <c r="CN308" s="1708"/>
      <c r="CO308" s="1708"/>
      <c r="CP308" s="1708"/>
      <c r="CQ308" s="1708"/>
      <c r="CR308" s="1708"/>
      <c r="CS308" s="1708"/>
      <c r="CT308" s="1708"/>
      <c r="CU308" s="1708"/>
      <c r="CV308" s="1708"/>
      <c r="CW308" s="1708"/>
      <c r="CX308" s="1708"/>
      <c r="CY308" s="1708"/>
      <c r="CZ308" s="1708"/>
      <c r="DA308" s="1708"/>
      <c r="DB308" s="1708"/>
      <c r="DC308" s="1708"/>
      <c r="DD308" s="1708"/>
      <c r="DE308" s="1708"/>
      <c r="DF308" s="1708"/>
      <c r="DG308" s="1708"/>
      <c r="DH308" s="1708"/>
      <c r="DI308" s="1708"/>
      <c r="DJ308" s="1708"/>
      <c r="DK308" s="1708"/>
      <c r="DL308" s="1708"/>
      <c r="DM308" s="1708"/>
      <c r="DN308" s="1708"/>
      <c r="DO308" s="1708"/>
      <c r="DP308" s="1708"/>
      <c r="DQ308" s="1708"/>
      <c r="DR308" s="1708"/>
      <c r="DS308" s="1708"/>
      <c r="DT308" s="1708"/>
      <c r="DU308" s="1708"/>
      <c r="DV308" s="1708"/>
      <c r="DW308" s="1708"/>
      <c r="DX308" s="1708"/>
      <c r="DY308" s="1708"/>
      <c r="DZ308" s="1708"/>
      <c r="EA308" s="1708"/>
      <c r="EB308" s="1708"/>
      <c r="EC308" s="1708"/>
      <c r="ED308" s="1708"/>
      <c r="EE308" s="1708"/>
      <c r="EF308" s="1708"/>
      <c r="EG308" s="1708"/>
      <c r="EH308" s="1708"/>
      <c r="EI308" s="1708"/>
      <c r="EJ308" s="1708"/>
      <c r="EK308" s="1708"/>
      <c r="EL308" s="1708"/>
      <c r="EM308" s="1708"/>
      <c r="EN308" s="1708"/>
      <c r="EO308" s="1708"/>
      <c r="EP308" s="1708"/>
      <c r="EQ308" s="1708"/>
      <c r="ER308" s="1708"/>
      <c r="ES308" s="1708"/>
      <c r="ET308" s="1708"/>
      <c r="EU308" s="1708"/>
      <c r="EV308" s="1708"/>
      <c r="EW308" s="1708"/>
      <c r="EX308" s="1708"/>
      <c r="EY308" s="1708"/>
      <c r="EZ308" s="1708"/>
      <c r="FA308" s="1708"/>
      <c r="FB308" s="1708"/>
      <c r="FC308" s="1708"/>
      <c r="FD308" s="1708"/>
      <c r="FE308" s="1708"/>
      <c r="FF308" s="1708"/>
      <c r="FG308" s="1708"/>
      <c r="FH308" s="1708"/>
      <c r="FI308" s="1708"/>
      <c r="FJ308" s="1708"/>
      <c r="FK308" s="1708"/>
      <c r="FL308" s="1708"/>
      <c r="FM308" s="1708"/>
      <c r="FN308" s="1708"/>
      <c r="FO308" s="1708"/>
      <c r="FP308" s="1708"/>
      <c r="FQ308" s="1708"/>
      <c r="FR308" s="1708"/>
      <c r="FS308" s="1708"/>
      <c r="FT308" s="1708"/>
      <c r="FU308" s="1708"/>
      <c r="FV308" s="1708"/>
      <c r="FW308" s="1708"/>
      <c r="FX308" s="1708"/>
      <c r="FY308" s="1708"/>
      <c r="FZ308" s="1708"/>
      <c r="GA308" s="1708"/>
      <c r="GB308" s="1708"/>
      <c r="GC308" s="1708"/>
      <c r="GD308" s="1708"/>
      <c r="GE308" s="1708"/>
      <c r="GF308" s="1708"/>
      <c r="GG308" s="1708"/>
      <c r="GH308" s="1708"/>
      <c r="GI308" s="1708"/>
      <c r="GJ308" s="1708"/>
      <c r="GK308" s="1708"/>
      <c r="GL308" s="1708"/>
      <c r="GM308" s="1708"/>
      <c r="GN308" s="1708"/>
      <c r="GO308" s="1708"/>
      <c r="GP308" s="1708"/>
      <c r="GQ308" s="1708"/>
      <c r="GR308" s="1708"/>
      <c r="GS308" s="1708"/>
      <c r="GT308" s="1708"/>
      <c r="GU308" s="1708"/>
      <c r="GV308" s="1708"/>
      <c r="GW308" s="1708"/>
      <c r="GX308" s="1708"/>
      <c r="GY308" s="1708"/>
      <c r="GZ308" s="1708"/>
      <c r="HA308" s="1708"/>
      <c r="HB308" s="1708"/>
      <c r="HC308" s="1708"/>
      <c r="HD308" s="1708"/>
      <c r="HE308" s="1708"/>
      <c r="HF308" s="1708"/>
      <c r="HG308" s="1708"/>
      <c r="HH308" s="1708"/>
      <c r="HI308" s="1708"/>
      <c r="HJ308" s="1708"/>
      <c r="HK308" s="1708"/>
      <c r="HL308" s="1708"/>
      <c r="HM308" s="1708"/>
      <c r="HN308" s="1708"/>
      <c r="HO308" s="1708"/>
      <c r="HP308" s="1708"/>
      <c r="HQ308" s="1708"/>
      <c r="HR308" s="1708"/>
      <c r="HS308" s="1708"/>
      <c r="HT308" s="1708"/>
      <c r="HU308" s="1708"/>
      <c r="HV308" s="1708"/>
      <c r="HW308" s="1708"/>
      <c r="HX308" s="1708"/>
      <c r="HY308" s="1708"/>
      <c r="HZ308" s="1708"/>
      <c r="IA308" s="1708"/>
      <c r="IB308" s="1708"/>
      <c r="IC308" s="1708"/>
      <c r="ID308" s="1708"/>
      <c r="IE308" s="1708"/>
      <c r="IF308" s="1708"/>
      <c r="IG308" s="1708"/>
      <c r="IH308" s="1708"/>
      <c r="II308" s="1708"/>
      <c r="IJ308" s="1708"/>
      <c r="IK308" s="1708"/>
      <c r="IL308" s="1708"/>
      <c r="IM308" s="1708"/>
      <c r="IN308" s="1708"/>
      <c r="IO308" s="1708"/>
      <c r="IP308" s="1708"/>
      <c r="IQ308" s="1708"/>
      <c r="IR308" s="1708"/>
      <c r="IS308" s="1708"/>
      <c r="IT308" s="1708"/>
      <c r="IU308" s="1708"/>
      <c r="IV308" s="1708"/>
    </row>
    <row r="309" spans="2:256" s="57" customFormat="1" x14ac:dyDescent="0.25">
      <c r="B309" s="1836"/>
      <c r="G309" s="1849"/>
      <c r="J309" s="1850"/>
      <c r="K309" s="1850"/>
      <c r="S309" s="1708"/>
      <c r="T309" s="1708"/>
      <c r="U309" s="1708"/>
      <c r="V309" s="1708"/>
      <c r="W309" s="1708"/>
      <c r="X309" s="1708"/>
      <c r="Y309" s="1708"/>
      <c r="Z309" s="1708"/>
      <c r="AA309" s="1708"/>
      <c r="AB309" s="1708"/>
      <c r="AC309" s="1708"/>
      <c r="AD309" s="1708"/>
      <c r="AE309" s="1708"/>
      <c r="AF309" s="1708"/>
      <c r="AG309" s="1708"/>
      <c r="AH309" s="1708"/>
      <c r="AI309" s="1708"/>
      <c r="AJ309" s="1708"/>
      <c r="AK309" s="1708"/>
      <c r="AL309" s="1708"/>
      <c r="AM309" s="1708"/>
      <c r="AN309" s="1708"/>
      <c r="AO309" s="1708"/>
      <c r="AP309" s="1708"/>
      <c r="AQ309" s="1708"/>
      <c r="AR309" s="1708"/>
      <c r="AS309" s="1708"/>
      <c r="AT309" s="1708"/>
      <c r="AU309" s="1708"/>
      <c r="AV309" s="1708"/>
      <c r="AW309" s="1708"/>
      <c r="AX309" s="1708"/>
      <c r="AY309" s="1708"/>
      <c r="AZ309" s="1708"/>
      <c r="BA309" s="1708"/>
      <c r="BB309" s="1708"/>
      <c r="BC309" s="1708"/>
      <c r="BD309" s="1708"/>
      <c r="BE309" s="1708"/>
      <c r="BF309" s="1708"/>
      <c r="BG309" s="1708"/>
      <c r="BH309" s="1708"/>
      <c r="BI309" s="1708"/>
      <c r="BJ309" s="1708"/>
      <c r="BK309" s="1708"/>
      <c r="BL309" s="1708"/>
      <c r="BM309" s="1708"/>
      <c r="BN309" s="1708"/>
      <c r="BO309" s="1708"/>
      <c r="BP309" s="1708"/>
      <c r="BQ309" s="1708"/>
      <c r="BR309" s="1708"/>
      <c r="BS309" s="1708"/>
      <c r="BT309" s="1708"/>
      <c r="BU309" s="1708"/>
      <c r="BV309" s="1708"/>
      <c r="BW309" s="1708"/>
      <c r="BX309" s="1708"/>
      <c r="BY309" s="1708"/>
      <c r="BZ309" s="1708"/>
      <c r="CA309" s="1708"/>
      <c r="CB309" s="1708"/>
      <c r="CC309" s="1708"/>
      <c r="CD309" s="1708"/>
      <c r="CE309" s="1708"/>
      <c r="CF309" s="1708"/>
      <c r="CG309" s="1708"/>
      <c r="CH309" s="1708"/>
      <c r="CI309" s="1708"/>
      <c r="CJ309" s="1708"/>
      <c r="CK309" s="1708"/>
      <c r="CL309" s="1708"/>
      <c r="CM309" s="1708"/>
      <c r="CN309" s="1708"/>
      <c r="CO309" s="1708"/>
      <c r="CP309" s="1708"/>
      <c r="CQ309" s="1708"/>
      <c r="CR309" s="1708"/>
      <c r="CS309" s="1708"/>
      <c r="CT309" s="1708"/>
      <c r="CU309" s="1708"/>
      <c r="CV309" s="1708"/>
      <c r="CW309" s="1708"/>
      <c r="CX309" s="1708"/>
      <c r="CY309" s="1708"/>
      <c r="CZ309" s="1708"/>
      <c r="DA309" s="1708"/>
      <c r="DB309" s="1708"/>
      <c r="DC309" s="1708"/>
      <c r="DD309" s="1708"/>
      <c r="DE309" s="1708"/>
      <c r="DF309" s="1708"/>
      <c r="DG309" s="1708"/>
      <c r="DH309" s="1708"/>
      <c r="DI309" s="1708"/>
      <c r="DJ309" s="1708"/>
      <c r="DK309" s="1708"/>
      <c r="DL309" s="1708"/>
      <c r="DM309" s="1708"/>
      <c r="DN309" s="1708"/>
      <c r="DO309" s="1708"/>
      <c r="DP309" s="1708"/>
      <c r="DQ309" s="1708"/>
      <c r="DR309" s="1708"/>
      <c r="DS309" s="1708"/>
      <c r="DT309" s="1708"/>
      <c r="DU309" s="1708"/>
      <c r="DV309" s="1708"/>
      <c r="DW309" s="1708"/>
      <c r="DX309" s="1708"/>
      <c r="DY309" s="1708"/>
      <c r="DZ309" s="1708"/>
      <c r="EA309" s="1708"/>
      <c r="EB309" s="1708"/>
      <c r="EC309" s="1708"/>
      <c r="ED309" s="1708"/>
      <c r="EE309" s="1708"/>
      <c r="EF309" s="1708"/>
      <c r="EG309" s="1708"/>
      <c r="EH309" s="1708"/>
      <c r="EI309" s="1708"/>
      <c r="EJ309" s="1708"/>
      <c r="EK309" s="1708"/>
      <c r="EL309" s="1708"/>
      <c r="EM309" s="1708"/>
      <c r="EN309" s="1708"/>
      <c r="EO309" s="1708"/>
      <c r="EP309" s="1708"/>
      <c r="EQ309" s="1708"/>
      <c r="ER309" s="1708"/>
      <c r="ES309" s="1708"/>
      <c r="ET309" s="1708"/>
      <c r="EU309" s="1708"/>
      <c r="EV309" s="1708"/>
      <c r="EW309" s="1708"/>
      <c r="EX309" s="1708"/>
      <c r="EY309" s="1708"/>
      <c r="EZ309" s="1708"/>
      <c r="FA309" s="1708"/>
      <c r="FB309" s="1708"/>
      <c r="FC309" s="1708"/>
      <c r="FD309" s="1708"/>
      <c r="FE309" s="1708"/>
      <c r="FF309" s="1708"/>
      <c r="FG309" s="1708"/>
      <c r="FH309" s="1708"/>
      <c r="FI309" s="1708"/>
      <c r="FJ309" s="1708"/>
      <c r="FK309" s="1708"/>
      <c r="FL309" s="1708"/>
      <c r="FM309" s="1708"/>
      <c r="FN309" s="1708"/>
      <c r="FO309" s="1708"/>
      <c r="FP309" s="1708"/>
      <c r="FQ309" s="1708"/>
      <c r="FR309" s="1708"/>
      <c r="FS309" s="1708"/>
      <c r="FT309" s="1708"/>
      <c r="FU309" s="1708"/>
      <c r="FV309" s="1708"/>
      <c r="FW309" s="1708"/>
      <c r="FX309" s="1708"/>
      <c r="FY309" s="1708"/>
      <c r="FZ309" s="1708"/>
      <c r="GA309" s="1708"/>
      <c r="GB309" s="1708"/>
      <c r="GC309" s="1708"/>
      <c r="GD309" s="1708"/>
      <c r="GE309" s="1708"/>
      <c r="GF309" s="1708"/>
      <c r="GG309" s="1708"/>
      <c r="GH309" s="1708"/>
      <c r="GI309" s="1708"/>
      <c r="GJ309" s="1708"/>
      <c r="GK309" s="1708"/>
      <c r="GL309" s="1708"/>
      <c r="GM309" s="1708"/>
      <c r="GN309" s="1708"/>
      <c r="GO309" s="1708"/>
      <c r="GP309" s="1708"/>
      <c r="GQ309" s="1708"/>
      <c r="GR309" s="1708"/>
      <c r="GS309" s="1708"/>
      <c r="GT309" s="1708"/>
      <c r="GU309" s="1708"/>
      <c r="GV309" s="1708"/>
      <c r="GW309" s="1708"/>
      <c r="GX309" s="1708"/>
      <c r="GY309" s="1708"/>
      <c r="GZ309" s="1708"/>
      <c r="HA309" s="1708"/>
      <c r="HB309" s="1708"/>
      <c r="HC309" s="1708"/>
      <c r="HD309" s="1708"/>
      <c r="HE309" s="1708"/>
      <c r="HF309" s="1708"/>
      <c r="HG309" s="1708"/>
      <c r="HH309" s="1708"/>
      <c r="HI309" s="1708"/>
      <c r="HJ309" s="1708"/>
      <c r="HK309" s="1708"/>
      <c r="HL309" s="1708"/>
      <c r="HM309" s="1708"/>
      <c r="HN309" s="1708"/>
      <c r="HO309" s="1708"/>
      <c r="HP309" s="1708"/>
      <c r="HQ309" s="1708"/>
      <c r="HR309" s="1708"/>
      <c r="HS309" s="1708"/>
      <c r="HT309" s="1708"/>
      <c r="HU309" s="1708"/>
      <c r="HV309" s="1708"/>
      <c r="HW309" s="1708"/>
      <c r="HX309" s="1708"/>
      <c r="HY309" s="1708"/>
      <c r="HZ309" s="1708"/>
      <c r="IA309" s="1708"/>
      <c r="IB309" s="1708"/>
      <c r="IC309" s="1708"/>
      <c r="ID309" s="1708"/>
      <c r="IE309" s="1708"/>
      <c r="IF309" s="1708"/>
      <c r="IG309" s="1708"/>
      <c r="IH309" s="1708"/>
      <c r="II309" s="1708"/>
      <c r="IJ309" s="1708"/>
      <c r="IK309" s="1708"/>
      <c r="IL309" s="1708"/>
      <c r="IM309" s="1708"/>
      <c r="IN309" s="1708"/>
      <c r="IO309" s="1708"/>
      <c r="IP309" s="1708"/>
      <c r="IQ309" s="1708"/>
      <c r="IR309" s="1708"/>
      <c r="IS309" s="1708"/>
      <c r="IT309" s="1708"/>
      <c r="IU309" s="1708"/>
      <c r="IV309" s="1708"/>
    </row>
    <row r="310" spans="2:256" s="57" customFormat="1" x14ac:dyDescent="0.25">
      <c r="B310" s="1836"/>
      <c r="G310" s="1849"/>
      <c r="J310" s="1850"/>
      <c r="K310" s="1850"/>
      <c r="S310" s="1708"/>
      <c r="T310" s="1708"/>
      <c r="U310" s="1708"/>
      <c r="V310" s="1708"/>
      <c r="W310" s="1708"/>
      <c r="X310" s="1708"/>
      <c r="Y310" s="1708"/>
      <c r="Z310" s="1708"/>
      <c r="AA310" s="1708"/>
      <c r="AB310" s="1708"/>
      <c r="AC310" s="1708"/>
      <c r="AD310" s="1708"/>
      <c r="AE310" s="1708"/>
      <c r="AF310" s="1708"/>
      <c r="AG310" s="1708"/>
      <c r="AH310" s="1708"/>
      <c r="AI310" s="1708"/>
      <c r="AJ310" s="1708"/>
      <c r="AK310" s="1708"/>
      <c r="AL310" s="1708"/>
      <c r="AM310" s="1708"/>
      <c r="AN310" s="1708"/>
      <c r="AO310" s="1708"/>
      <c r="AP310" s="1708"/>
      <c r="AQ310" s="1708"/>
      <c r="AR310" s="1708"/>
      <c r="AS310" s="1708"/>
      <c r="AT310" s="1708"/>
      <c r="AU310" s="1708"/>
      <c r="AV310" s="1708"/>
      <c r="AW310" s="1708"/>
      <c r="AX310" s="1708"/>
      <c r="AY310" s="1708"/>
      <c r="AZ310" s="1708"/>
      <c r="BA310" s="1708"/>
      <c r="BB310" s="1708"/>
      <c r="BC310" s="1708"/>
      <c r="BD310" s="1708"/>
      <c r="BE310" s="1708"/>
      <c r="BF310" s="1708"/>
      <c r="BG310" s="1708"/>
      <c r="BH310" s="1708"/>
      <c r="BI310" s="1708"/>
      <c r="BJ310" s="1708"/>
      <c r="BK310" s="1708"/>
      <c r="BL310" s="1708"/>
      <c r="BM310" s="1708"/>
      <c r="BN310" s="1708"/>
      <c r="BO310" s="1708"/>
      <c r="BP310" s="1708"/>
      <c r="BQ310" s="1708"/>
      <c r="BR310" s="1708"/>
      <c r="BS310" s="1708"/>
      <c r="BT310" s="1708"/>
      <c r="BU310" s="1708"/>
      <c r="BV310" s="1708"/>
      <c r="BW310" s="1708"/>
      <c r="BX310" s="1708"/>
      <c r="BY310" s="1708"/>
      <c r="BZ310" s="1708"/>
      <c r="CA310" s="1708"/>
      <c r="CB310" s="1708"/>
      <c r="CC310" s="1708"/>
      <c r="CD310" s="1708"/>
      <c r="CE310" s="1708"/>
      <c r="CF310" s="1708"/>
      <c r="CG310" s="1708"/>
      <c r="CH310" s="1708"/>
      <c r="CI310" s="1708"/>
      <c r="CJ310" s="1708"/>
      <c r="CK310" s="1708"/>
      <c r="CL310" s="1708"/>
      <c r="CM310" s="1708"/>
      <c r="CN310" s="1708"/>
      <c r="CO310" s="1708"/>
      <c r="CP310" s="1708"/>
      <c r="CQ310" s="1708"/>
      <c r="CR310" s="1708"/>
      <c r="CS310" s="1708"/>
      <c r="CT310" s="1708"/>
      <c r="CU310" s="1708"/>
      <c r="CV310" s="1708"/>
      <c r="CW310" s="1708"/>
      <c r="CX310" s="1708"/>
      <c r="CY310" s="1708"/>
      <c r="CZ310" s="1708"/>
      <c r="DA310" s="1708"/>
      <c r="DB310" s="1708"/>
      <c r="DC310" s="1708"/>
      <c r="DD310" s="1708"/>
      <c r="DE310" s="1708"/>
      <c r="DF310" s="1708"/>
      <c r="DG310" s="1708"/>
      <c r="DH310" s="1708"/>
      <c r="DI310" s="1708"/>
      <c r="DJ310" s="1708"/>
      <c r="DK310" s="1708"/>
      <c r="DL310" s="1708"/>
      <c r="DM310" s="1708"/>
      <c r="DN310" s="1708"/>
      <c r="DO310" s="1708"/>
      <c r="DP310" s="1708"/>
      <c r="DQ310" s="1708"/>
      <c r="DR310" s="1708"/>
      <c r="DS310" s="1708"/>
      <c r="DT310" s="1708"/>
      <c r="DU310" s="1708"/>
      <c r="DV310" s="1708"/>
      <c r="DW310" s="1708"/>
      <c r="DX310" s="1708"/>
      <c r="DY310" s="1708"/>
      <c r="DZ310" s="1708"/>
      <c r="EA310" s="1708"/>
      <c r="EB310" s="1708"/>
      <c r="EC310" s="1708"/>
      <c r="ED310" s="1708"/>
      <c r="EE310" s="1708"/>
      <c r="EF310" s="1708"/>
      <c r="EG310" s="1708"/>
      <c r="EH310" s="1708"/>
      <c r="EI310" s="1708"/>
      <c r="EJ310" s="1708"/>
      <c r="EK310" s="1708"/>
      <c r="EL310" s="1708"/>
      <c r="EM310" s="1708"/>
      <c r="EN310" s="1708"/>
      <c r="EO310" s="1708"/>
      <c r="EP310" s="1708"/>
      <c r="EQ310" s="1708"/>
      <c r="ER310" s="1708"/>
      <c r="ES310" s="1708"/>
      <c r="ET310" s="1708"/>
      <c r="EU310" s="1708"/>
      <c r="EV310" s="1708"/>
      <c r="EW310" s="1708"/>
      <c r="EX310" s="1708"/>
      <c r="EY310" s="1708"/>
      <c r="EZ310" s="1708"/>
      <c r="FA310" s="1708"/>
      <c r="FB310" s="1708"/>
      <c r="FC310" s="1708"/>
      <c r="FD310" s="1708"/>
      <c r="FE310" s="1708"/>
      <c r="FF310" s="1708"/>
      <c r="FG310" s="1708"/>
      <c r="FH310" s="1708"/>
      <c r="FI310" s="1708"/>
      <c r="FJ310" s="1708"/>
      <c r="FK310" s="1708"/>
      <c r="FL310" s="1708"/>
      <c r="FM310" s="1708"/>
      <c r="FN310" s="1708"/>
      <c r="FO310" s="1708"/>
      <c r="FP310" s="1708"/>
      <c r="FQ310" s="1708"/>
      <c r="FR310" s="1708"/>
      <c r="FS310" s="1708"/>
      <c r="FT310" s="1708"/>
      <c r="FU310" s="1708"/>
      <c r="FV310" s="1708"/>
      <c r="FW310" s="1708"/>
      <c r="FX310" s="1708"/>
      <c r="FY310" s="1708"/>
      <c r="FZ310" s="1708"/>
      <c r="GA310" s="1708"/>
      <c r="GB310" s="1708"/>
      <c r="GC310" s="1708"/>
      <c r="GD310" s="1708"/>
      <c r="GE310" s="1708"/>
      <c r="GF310" s="1708"/>
      <c r="GG310" s="1708"/>
      <c r="GH310" s="1708"/>
      <c r="GI310" s="1708"/>
      <c r="GJ310" s="1708"/>
      <c r="GK310" s="1708"/>
      <c r="GL310" s="1708"/>
      <c r="GM310" s="1708"/>
      <c r="GN310" s="1708"/>
      <c r="GO310" s="1708"/>
      <c r="GP310" s="1708"/>
      <c r="GQ310" s="1708"/>
      <c r="GR310" s="1708"/>
      <c r="GS310" s="1708"/>
      <c r="GT310" s="1708"/>
      <c r="GU310" s="1708"/>
      <c r="GV310" s="1708"/>
      <c r="GW310" s="1708"/>
      <c r="GX310" s="1708"/>
      <c r="GY310" s="1708"/>
      <c r="GZ310" s="1708"/>
      <c r="HA310" s="1708"/>
      <c r="HB310" s="1708"/>
      <c r="HC310" s="1708"/>
      <c r="HD310" s="1708"/>
      <c r="HE310" s="1708"/>
      <c r="HF310" s="1708"/>
      <c r="HG310" s="1708"/>
      <c r="HH310" s="1708"/>
      <c r="HI310" s="1708"/>
      <c r="HJ310" s="1708"/>
      <c r="HK310" s="1708"/>
      <c r="HL310" s="1708"/>
      <c r="HM310" s="1708"/>
      <c r="HN310" s="1708"/>
      <c r="HO310" s="1708"/>
      <c r="HP310" s="1708"/>
      <c r="HQ310" s="1708"/>
      <c r="HR310" s="1708"/>
      <c r="HS310" s="1708"/>
      <c r="HT310" s="1708"/>
      <c r="HU310" s="1708"/>
      <c r="HV310" s="1708"/>
      <c r="HW310" s="1708"/>
      <c r="HX310" s="1708"/>
      <c r="HY310" s="1708"/>
      <c r="HZ310" s="1708"/>
      <c r="IA310" s="1708"/>
      <c r="IB310" s="1708"/>
      <c r="IC310" s="1708"/>
      <c r="ID310" s="1708"/>
      <c r="IE310" s="1708"/>
      <c r="IF310" s="1708"/>
      <c r="IG310" s="1708"/>
      <c r="IH310" s="1708"/>
      <c r="II310" s="1708"/>
      <c r="IJ310" s="1708"/>
      <c r="IK310" s="1708"/>
      <c r="IL310" s="1708"/>
      <c r="IM310" s="1708"/>
      <c r="IN310" s="1708"/>
      <c r="IO310" s="1708"/>
      <c r="IP310" s="1708"/>
      <c r="IQ310" s="1708"/>
      <c r="IR310" s="1708"/>
      <c r="IS310" s="1708"/>
      <c r="IT310" s="1708"/>
      <c r="IU310" s="1708"/>
      <c r="IV310" s="1708"/>
    </row>
    <row r="311" spans="2:256" s="57" customFormat="1" x14ac:dyDescent="0.25">
      <c r="B311" s="1836"/>
      <c r="G311" s="1849"/>
      <c r="J311" s="1850"/>
      <c r="K311" s="1850"/>
      <c r="S311" s="1708"/>
      <c r="T311" s="1708"/>
      <c r="U311" s="1708"/>
      <c r="V311" s="1708"/>
      <c r="W311" s="1708"/>
      <c r="X311" s="1708"/>
      <c r="Y311" s="1708"/>
      <c r="Z311" s="1708"/>
      <c r="AA311" s="1708"/>
      <c r="AB311" s="1708"/>
      <c r="AC311" s="1708"/>
      <c r="AD311" s="1708"/>
      <c r="AE311" s="1708"/>
      <c r="AF311" s="1708"/>
      <c r="AG311" s="1708"/>
      <c r="AH311" s="1708"/>
      <c r="AI311" s="1708"/>
      <c r="AJ311" s="1708"/>
      <c r="AK311" s="1708"/>
      <c r="AL311" s="1708"/>
      <c r="AM311" s="1708"/>
      <c r="AN311" s="1708"/>
      <c r="AO311" s="1708"/>
      <c r="AP311" s="1708"/>
      <c r="AQ311" s="1708"/>
      <c r="AR311" s="1708"/>
      <c r="AS311" s="1708"/>
      <c r="AT311" s="1708"/>
      <c r="AU311" s="1708"/>
      <c r="AV311" s="1708"/>
      <c r="AW311" s="1708"/>
      <c r="AX311" s="1708"/>
      <c r="AY311" s="1708"/>
      <c r="AZ311" s="1708"/>
      <c r="BA311" s="1708"/>
      <c r="BB311" s="1708"/>
      <c r="BC311" s="1708"/>
      <c r="BD311" s="1708"/>
      <c r="BE311" s="1708"/>
      <c r="BF311" s="1708"/>
      <c r="BG311" s="1708"/>
      <c r="BH311" s="1708"/>
      <c r="BI311" s="1708"/>
      <c r="BJ311" s="1708"/>
      <c r="BK311" s="1708"/>
      <c r="BL311" s="1708"/>
      <c r="BM311" s="1708"/>
      <c r="BN311" s="1708"/>
      <c r="BO311" s="1708"/>
      <c r="BP311" s="1708"/>
      <c r="BQ311" s="1708"/>
      <c r="BR311" s="1708"/>
      <c r="BS311" s="1708"/>
      <c r="BT311" s="1708"/>
      <c r="BU311" s="1708"/>
      <c r="BV311" s="1708"/>
      <c r="BW311" s="1708"/>
      <c r="BX311" s="1708"/>
      <c r="BY311" s="1708"/>
      <c r="BZ311" s="1708"/>
      <c r="CA311" s="1708"/>
      <c r="CB311" s="1708"/>
      <c r="CC311" s="1708"/>
      <c r="CD311" s="1708"/>
      <c r="CE311" s="1708"/>
      <c r="CF311" s="1708"/>
      <c r="CG311" s="1708"/>
      <c r="CH311" s="1708"/>
      <c r="CI311" s="1708"/>
      <c r="CJ311" s="1708"/>
      <c r="CK311" s="1708"/>
      <c r="CL311" s="1708"/>
      <c r="CM311" s="1708"/>
      <c r="CN311" s="1708"/>
      <c r="CO311" s="1708"/>
      <c r="CP311" s="1708"/>
      <c r="CQ311" s="1708"/>
      <c r="CR311" s="1708"/>
      <c r="CS311" s="1708"/>
      <c r="CT311" s="1708"/>
      <c r="CU311" s="1708"/>
      <c r="CV311" s="1708"/>
      <c r="CW311" s="1708"/>
      <c r="CX311" s="1708"/>
      <c r="CY311" s="1708"/>
      <c r="CZ311" s="1708"/>
      <c r="DA311" s="1708"/>
      <c r="DB311" s="1708"/>
      <c r="DC311" s="1708"/>
      <c r="DD311" s="1708"/>
      <c r="DE311" s="1708"/>
      <c r="DF311" s="1708"/>
      <c r="DG311" s="1708"/>
      <c r="DH311" s="1708"/>
      <c r="DI311" s="1708"/>
      <c r="DJ311" s="1708"/>
      <c r="DK311" s="1708"/>
      <c r="DL311" s="1708"/>
      <c r="DM311" s="1708"/>
      <c r="DN311" s="1708"/>
      <c r="DO311" s="1708"/>
      <c r="DP311" s="1708"/>
      <c r="DQ311" s="1708"/>
      <c r="DR311" s="1708"/>
      <c r="DS311" s="1708"/>
      <c r="DT311" s="1708"/>
      <c r="DU311" s="1708"/>
      <c r="DV311" s="1708"/>
      <c r="DW311" s="1708"/>
      <c r="DX311" s="1708"/>
      <c r="DY311" s="1708"/>
      <c r="DZ311" s="1708"/>
      <c r="EA311" s="1708"/>
      <c r="EB311" s="1708"/>
      <c r="EC311" s="1708"/>
      <c r="ED311" s="1708"/>
      <c r="EE311" s="1708"/>
      <c r="EF311" s="1708"/>
      <c r="EG311" s="1708"/>
      <c r="EH311" s="1708"/>
      <c r="EI311" s="1708"/>
      <c r="EJ311" s="1708"/>
      <c r="EK311" s="1708"/>
      <c r="EL311" s="1708"/>
      <c r="EM311" s="1708"/>
      <c r="EN311" s="1708"/>
      <c r="EO311" s="1708"/>
      <c r="EP311" s="1708"/>
      <c r="EQ311" s="1708"/>
      <c r="ER311" s="1708"/>
      <c r="ES311" s="1708"/>
      <c r="ET311" s="1708"/>
      <c r="EU311" s="1708"/>
      <c r="EV311" s="1708"/>
      <c r="EW311" s="1708"/>
      <c r="EX311" s="1708"/>
      <c r="EY311" s="1708"/>
      <c r="EZ311" s="1708"/>
      <c r="FA311" s="1708"/>
      <c r="FB311" s="1708"/>
      <c r="FC311" s="1708"/>
      <c r="FD311" s="1708"/>
      <c r="FE311" s="1708"/>
      <c r="FF311" s="1708"/>
      <c r="FG311" s="1708"/>
      <c r="FH311" s="1708"/>
      <c r="FI311" s="1708"/>
      <c r="FJ311" s="1708"/>
      <c r="FK311" s="1708"/>
      <c r="FL311" s="1708"/>
      <c r="FM311" s="1708"/>
      <c r="FN311" s="1708"/>
      <c r="FO311" s="1708"/>
      <c r="FP311" s="1708"/>
      <c r="FQ311" s="1708"/>
      <c r="FR311" s="1708"/>
      <c r="FS311" s="1708"/>
      <c r="FT311" s="1708"/>
      <c r="FU311" s="1708"/>
      <c r="FV311" s="1708"/>
      <c r="FW311" s="1708"/>
      <c r="FX311" s="1708"/>
      <c r="FY311" s="1708"/>
      <c r="FZ311" s="1708"/>
      <c r="GA311" s="1708"/>
      <c r="GB311" s="1708"/>
      <c r="GC311" s="1708"/>
      <c r="GD311" s="1708"/>
      <c r="GE311" s="1708"/>
      <c r="GF311" s="1708"/>
      <c r="GG311" s="1708"/>
      <c r="GH311" s="1708"/>
      <c r="GI311" s="1708"/>
      <c r="GJ311" s="1708"/>
      <c r="GK311" s="1708"/>
      <c r="GL311" s="1708"/>
      <c r="GM311" s="1708"/>
      <c r="GN311" s="1708"/>
      <c r="GO311" s="1708"/>
      <c r="GP311" s="1708"/>
      <c r="GQ311" s="1708"/>
      <c r="GR311" s="1708"/>
      <c r="GS311" s="1708"/>
      <c r="GT311" s="1708"/>
      <c r="GU311" s="1708"/>
      <c r="GV311" s="1708"/>
      <c r="GW311" s="1708"/>
      <c r="GX311" s="1708"/>
      <c r="GY311" s="1708"/>
      <c r="GZ311" s="1708"/>
      <c r="HA311" s="1708"/>
      <c r="HB311" s="1708"/>
      <c r="HC311" s="1708"/>
      <c r="HD311" s="1708"/>
      <c r="HE311" s="1708"/>
      <c r="HF311" s="1708"/>
      <c r="HG311" s="1708"/>
      <c r="HH311" s="1708"/>
      <c r="HI311" s="1708"/>
      <c r="HJ311" s="1708"/>
      <c r="HK311" s="1708"/>
      <c r="HL311" s="1708"/>
      <c r="HM311" s="1708"/>
      <c r="HN311" s="1708"/>
      <c r="HO311" s="1708"/>
      <c r="HP311" s="1708"/>
      <c r="HQ311" s="1708"/>
      <c r="HR311" s="1708"/>
      <c r="HS311" s="1708"/>
      <c r="HT311" s="1708"/>
      <c r="HU311" s="1708"/>
      <c r="HV311" s="1708"/>
      <c r="HW311" s="1708"/>
      <c r="HX311" s="1708"/>
      <c r="HY311" s="1708"/>
      <c r="HZ311" s="1708"/>
      <c r="IA311" s="1708"/>
      <c r="IB311" s="1708"/>
      <c r="IC311" s="1708"/>
      <c r="ID311" s="1708"/>
      <c r="IE311" s="1708"/>
      <c r="IF311" s="1708"/>
      <c r="IG311" s="1708"/>
      <c r="IH311" s="1708"/>
      <c r="II311" s="1708"/>
      <c r="IJ311" s="1708"/>
      <c r="IK311" s="1708"/>
      <c r="IL311" s="1708"/>
      <c r="IM311" s="1708"/>
      <c r="IN311" s="1708"/>
      <c r="IO311" s="1708"/>
      <c r="IP311" s="1708"/>
      <c r="IQ311" s="1708"/>
      <c r="IR311" s="1708"/>
      <c r="IS311" s="1708"/>
      <c r="IT311" s="1708"/>
      <c r="IU311" s="1708"/>
      <c r="IV311" s="1708"/>
    </row>
    <row r="312" spans="2:256" s="57" customFormat="1" x14ac:dyDescent="0.25">
      <c r="B312" s="1836"/>
      <c r="G312" s="1849"/>
      <c r="J312" s="1850"/>
      <c r="K312" s="1850"/>
      <c r="S312" s="1708"/>
      <c r="T312" s="1708"/>
      <c r="U312" s="1708"/>
      <c r="V312" s="1708"/>
      <c r="W312" s="1708"/>
      <c r="X312" s="1708"/>
      <c r="Y312" s="1708"/>
      <c r="Z312" s="1708"/>
      <c r="AA312" s="1708"/>
      <c r="AB312" s="1708"/>
      <c r="AC312" s="1708"/>
      <c r="AD312" s="1708"/>
      <c r="AE312" s="1708"/>
      <c r="AF312" s="1708"/>
      <c r="AG312" s="1708"/>
      <c r="AH312" s="1708"/>
      <c r="AI312" s="1708"/>
      <c r="AJ312" s="1708"/>
      <c r="AK312" s="1708"/>
      <c r="AL312" s="1708"/>
      <c r="AM312" s="1708"/>
      <c r="AN312" s="1708"/>
      <c r="AO312" s="1708"/>
      <c r="AP312" s="1708"/>
      <c r="AQ312" s="1708"/>
      <c r="AR312" s="1708"/>
      <c r="AS312" s="1708"/>
      <c r="AT312" s="1708"/>
      <c r="AU312" s="1708"/>
      <c r="AV312" s="1708"/>
      <c r="AW312" s="1708"/>
      <c r="AX312" s="1708"/>
      <c r="AY312" s="1708"/>
      <c r="AZ312" s="1708"/>
      <c r="BA312" s="1708"/>
      <c r="BB312" s="1708"/>
      <c r="BC312" s="1708"/>
      <c r="BD312" s="1708"/>
      <c r="BE312" s="1708"/>
      <c r="BF312" s="1708"/>
      <c r="BG312" s="1708"/>
      <c r="BH312" s="1708"/>
      <c r="BI312" s="1708"/>
      <c r="BJ312" s="1708"/>
      <c r="BK312" s="1708"/>
      <c r="BL312" s="1708"/>
      <c r="BM312" s="1708"/>
      <c r="BN312" s="1708"/>
      <c r="BO312" s="1708"/>
      <c r="BP312" s="1708"/>
      <c r="BQ312" s="1708"/>
      <c r="BR312" s="1708"/>
      <c r="BS312" s="1708"/>
      <c r="BT312" s="1708"/>
      <c r="BU312" s="1708"/>
      <c r="BV312" s="1708"/>
      <c r="BW312" s="1708"/>
      <c r="BX312" s="1708"/>
      <c r="BY312" s="1708"/>
      <c r="BZ312" s="1708"/>
      <c r="CA312" s="1708"/>
      <c r="CB312" s="1708"/>
      <c r="CC312" s="1708"/>
      <c r="CD312" s="1708"/>
      <c r="CE312" s="1708"/>
      <c r="CF312" s="1708"/>
      <c r="CG312" s="1708"/>
      <c r="CH312" s="1708"/>
      <c r="CI312" s="1708"/>
      <c r="CJ312" s="1708"/>
      <c r="CK312" s="1708"/>
      <c r="CL312" s="1708"/>
      <c r="CM312" s="1708"/>
      <c r="CN312" s="1708"/>
      <c r="CO312" s="1708"/>
      <c r="CP312" s="1708"/>
      <c r="CQ312" s="1708"/>
      <c r="CR312" s="1708"/>
      <c r="CS312" s="1708"/>
      <c r="CT312" s="1708"/>
      <c r="CU312" s="1708"/>
      <c r="CV312" s="1708"/>
      <c r="CW312" s="1708"/>
      <c r="CX312" s="1708"/>
      <c r="CY312" s="1708"/>
      <c r="CZ312" s="1708"/>
      <c r="DA312" s="1708"/>
      <c r="DB312" s="1708"/>
      <c r="DC312" s="1708"/>
      <c r="DD312" s="1708"/>
      <c r="DE312" s="1708"/>
      <c r="DF312" s="1708"/>
      <c r="DG312" s="1708"/>
      <c r="DH312" s="1708"/>
      <c r="DI312" s="1708"/>
      <c r="DJ312" s="1708"/>
      <c r="DK312" s="1708"/>
      <c r="DL312" s="1708"/>
      <c r="DM312" s="1708"/>
      <c r="DN312" s="1708"/>
      <c r="DO312" s="1708"/>
      <c r="DP312" s="1708"/>
      <c r="DQ312" s="1708"/>
      <c r="DR312" s="1708"/>
      <c r="DS312" s="1708"/>
      <c r="DT312" s="1708"/>
      <c r="DU312" s="1708"/>
      <c r="DV312" s="1708"/>
      <c r="DW312" s="1708"/>
      <c r="DX312" s="1708"/>
      <c r="DY312" s="1708"/>
      <c r="DZ312" s="1708"/>
      <c r="EA312" s="1708"/>
      <c r="EB312" s="1708"/>
      <c r="EC312" s="1708"/>
      <c r="ED312" s="1708"/>
      <c r="EE312" s="1708"/>
      <c r="EF312" s="1708"/>
      <c r="EG312" s="1708"/>
      <c r="EH312" s="1708"/>
      <c r="EI312" s="1708"/>
      <c r="EJ312" s="1708"/>
      <c r="EK312" s="1708"/>
      <c r="EL312" s="1708"/>
      <c r="EM312" s="1708"/>
      <c r="EN312" s="1708"/>
      <c r="EO312" s="1708"/>
      <c r="EP312" s="1708"/>
      <c r="EQ312" s="1708"/>
      <c r="ER312" s="1708"/>
      <c r="ES312" s="1708"/>
      <c r="ET312" s="1708"/>
      <c r="EU312" s="1708"/>
      <c r="EV312" s="1708"/>
      <c r="EW312" s="1708"/>
      <c r="EX312" s="1708"/>
      <c r="EY312" s="1708"/>
      <c r="EZ312" s="1708"/>
      <c r="FA312" s="1708"/>
      <c r="FB312" s="1708"/>
      <c r="FC312" s="1708"/>
      <c r="FD312" s="1708"/>
      <c r="FE312" s="1708"/>
      <c r="FF312" s="1708"/>
      <c r="FG312" s="1708"/>
      <c r="FH312" s="1708"/>
      <c r="FI312" s="1708"/>
      <c r="FJ312" s="1708"/>
      <c r="FK312" s="1708"/>
      <c r="FL312" s="1708"/>
      <c r="FM312" s="1708"/>
      <c r="FN312" s="1708"/>
      <c r="FO312" s="1708"/>
      <c r="FP312" s="1708"/>
      <c r="FQ312" s="1708"/>
      <c r="FR312" s="1708"/>
      <c r="FS312" s="1708"/>
      <c r="FT312" s="1708"/>
      <c r="FU312" s="1708"/>
      <c r="FV312" s="1708"/>
      <c r="FW312" s="1708"/>
      <c r="FX312" s="1708"/>
      <c r="FY312" s="1708"/>
      <c r="FZ312" s="1708"/>
      <c r="GA312" s="1708"/>
      <c r="GB312" s="1708"/>
      <c r="GC312" s="1708"/>
      <c r="GD312" s="1708"/>
      <c r="GE312" s="1708"/>
      <c r="GF312" s="1708"/>
      <c r="GG312" s="1708"/>
      <c r="GH312" s="1708"/>
      <c r="GI312" s="1708"/>
      <c r="GJ312" s="1708"/>
      <c r="GK312" s="1708"/>
      <c r="GL312" s="1708"/>
      <c r="GM312" s="1708"/>
      <c r="GN312" s="1708"/>
      <c r="GO312" s="1708"/>
      <c r="GP312" s="1708"/>
      <c r="GQ312" s="1708"/>
      <c r="GR312" s="1708"/>
      <c r="GS312" s="1708"/>
      <c r="GT312" s="1708"/>
      <c r="GU312" s="1708"/>
      <c r="GV312" s="1708"/>
      <c r="GW312" s="1708"/>
      <c r="GX312" s="1708"/>
      <c r="GY312" s="1708"/>
      <c r="GZ312" s="1708"/>
      <c r="HA312" s="1708"/>
      <c r="HB312" s="1708"/>
      <c r="HC312" s="1708"/>
      <c r="HD312" s="1708"/>
      <c r="HE312" s="1708"/>
      <c r="HF312" s="1708"/>
      <c r="HG312" s="1708"/>
      <c r="HH312" s="1708"/>
      <c r="HI312" s="1708"/>
      <c r="HJ312" s="1708"/>
      <c r="HK312" s="1708"/>
      <c r="HL312" s="1708"/>
      <c r="HM312" s="1708"/>
      <c r="HN312" s="1708"/>
      <c r="HO312" s="1708"/>
      <c r="HP312" s="1708"/>
      <c r="HQ312" s="1708"/>
      <c r="HR312" s="1708"/>
      <c r="HS312" s="1708"/>
      <c r="HT312" s="1708"/>
      <c r="HU312" s="1708"/>
      <c r="HV312" s="1708"/>
      <c r="HW312" s="1708"/>
      <c r="HX312" s="1708"/>
      <c r="HY312" s="1708"/>
      <c r="HZ312" s="1708"/>
      <c r="IA312" s="1708"/>
      <c r="IB312" s="1708"/>
      <c r="IC312" s="1708"/>
      <c r="ID312" s="1708"/>
      <c r="IE312" s="1708"/>
      <c r="IF312" s="1708"/>
      <c r="IG312" s="1708"/>
      <c r="IH312" s="1708"/>
      <c r="II312" s="1708"/>
      <c r="IJ312" s="1708"/>
      <c r="IK312" s="1708"/>
      <c r="IL312" s="1708"/>
      <c r="IM312" s="1708"/>
      <c r="IN312" s="1708"/>
      <c r="IO312" s="1708"/>
      <c r="IP312" s="1708"/>
      <c r="IQ312" s="1708"/>
      <c r="IR312" s="1708"/>
      <c r="IS312" s="1708"/>
      <c r="IT312" s="1708"/>
      <c r="IU312" s="1708"/>
      <c r="IV312" s="1708"/>
    </row>
    <row r="313" spans="2:256" s="57" customFormat="1" x14ac:dyDescent="0.25">
      <c r="B313" s="1836"/>
      <c r="G313" s="1849"/>
      <c r="J313" s="1850"/>
      <c r="K313" s="1850"/>
      <c r="S313" s="1708"/>
      <c r="T313" s="1708"/>
      <c r="U313" s="1708"/>
      <c r="V313" s="1708"/>
      <c r="W313" s="1708"/>
      <c r="X313" s="1708"/>
      <c r="Y313" s="1708"/>
      <c r="Z313" s="1708"/>
      <c r="AA313" s="1708"/>
      <c r="AB313" s="1708"/>
      <c r="AC313" s="1708"/>
      <c r="AD313" s="1708"/>
      <c r="AE313" s="1708"/>
      <c r="AF313" s="1708"/>
      <c r="AG313" s="1708"/>
      <c r="AH313" s="1708"/>
      <c r="AI313" s="1708"/>
      <c r="AJ313" s="1708"/>
      <c r="AK313" s="1708"/>
      <c r="AL313" s="1708"/>
      <c r="AM313" s="1708"/>
      <c r="AN313" s="1708"/>
      <c r="AO313" s="1708"/>
      <c r="AP313" s="1708"/>
      <c r="AQ313" s="1708"/>
      <c r="AR313" s="1708"/>
      <c r="AS313" s="1708"/>
      <c r="AT313" s="1708"/>
      <c r="AU313" s="1708"/>
      <c r="AV313" s="1708"/>
      <c r="AW313" s="1708"/>
      <c r="AX313" s="1708"/>
      <c r="AY313" s="1708"/>
      <c r="AZ313" s="1708"/>
      <c r="BA313" s="1708"/>
      <c r="BB313" s="1708"/>
      <c r="BC313" s="1708"/>
      <c r="BD313" s="1708"/>
      <c r="BE313" s="1708"/>
      <c r="BF313" s="1708"/>
      <c r="BG313" s="1708"/>
      <c r="BH313" s="1708"/>
      <c r="BI313" s="1708"/>
      <c r="BJ313" s="1708"/>
      <c r="BK313" s="1708"/>
      <c r="BL313" s="1708"/>
      <c r="BM313" s="1708"/>
      <c r="BN313" s="1708"/>
      <c r="BO313" s="1708"/>
      <c r="BP313" s="1708"/>
      <c r="BQ313" s="1708"/>
      <c r="BR313" s="1708"/>
      <c r="BS313" s="1708"/>
      <c r="BT313" s="1708"/>
      <c r="BU313" s="1708"/>
      <c r="BV313" s="1708"/>
      <c r="BW313" s="1708"/>
      <c r="BX313" s="1708"/>
      <c r="BY313" s="1708"/>
      <c r="BZ313" s="1708"/>
      <c r="CA313" s="1708"/>
      <c r="CB313" s="1708"/>
      <c r="CC313" s="1708"/>
      <c r="CD313" s="1708"/>
      <c r="CE313" s="1708"/>
      <c r="CF313" s="1708"/>
      <c r="CG313" s="1708"/>
      <c r="CH313" s="1708"/>
      <c r="CI313" s="1708"/>
      <c r="CJ313" s="1708"/>
      <c r="CK313" s="1708"/>
      <c r="CL313" s="1708"/>
      <c r="CM313" s="1708"/>
      <c r="CN313" s="1708"/>
      <c r="CO313" s="1708"/>
      <c r="CP313" s="1708"/>
      <c r="CQ313" s="1708"/>
      <c r="CR313" s="1708"/>
      <c r="CS313" s="1708"/>
      <c r="CT313" s="1708"/>
      <c r="CU313" s="1708"/>
      <c r="CV313" s="1708"/>
      <c r="CW313" s="1708"/>
      <c r="CX313" s="1708"/>
      <c r="CY313" s="1708"/>
      <c r="CZ313" s="1708"/>
      <c r="DA313" s="1708"/>
      <c r="DB313" s="1708"/>
      <c r="DC313" s="1708"/>
      <c r="DD313" s="1708"/>
      <c r="DE313" s="1708"/>
      <c r="DF313" s="1708"/>
      <c r="DG313" s="1708"/>
      <c r="DH313" s="1708"/>
      <c r="DI313" s="1708"/>
      <c r="DJ313" s="1708"/>
      <c r="DK313" s="1708"/>
      <c r="DL313" s="1708"/>
      <c r="DM313" s="1708"/>
      <c r="DN313" s="1708"/>
      <c r="DO313" s="1708"/>
      <c r="DP313" s="1708"/>
      <c r="DQ313" s="1708"/>
      <c r="DR313" s="1708"/>
      <c r="DS313" s="1708"/>
      <c r="DT313" s="1708"/>
      <c r="DU313" s="1708"/>
      <c r="DV313" s="1708"/>
      <c r="DW313" s="1708"/>
      <c r="DX313" s="1708"/>
      <c r="DY313" s="1708"/>
      <c r="DZ313" s="1708"/>
      <c r="EA313" s="1708"/>
      <c r="EB313" s="1708"/>
      <c r="EC313" s="1708"/>
      <c r="ED313" s="1708"/>
      <c r="EE313" s="1708"/>
      <c r="EF313" s="1708"/>
      <c r="EG313" s="1708"/>
      <c r="EH313" s="1708"/>
      <c r="EI313" s="1708"/>
      <c r="EJ313" s="1708"/>
      <c r="EK313" s="1708"/>
      <c r="EL313" s="1708"/>
      <c r="EM313" s="1708"/>
      <c r="EN313" s="1708"/>
      <c r="EO313" s="1708"/>
      <c r="EP313" s="1708"/>
      <c r="EQ313" s="1708"/>
      <c r="ER313" s="1708"/>
      <c r="ES313" s="1708"/>
      <c r="ET313" s="1708"/>
      <c r="EU313" s="1708"/>
      <c r="EV313" s="1708"/>
      <c r="EW313" s="1708"/>
      <c r="EX313" s="1708"/>
      <c r="EY313" s="1708"/>
      <c r="EZ313" s="1708"/>
      <c r="FA313" s="1708"/>
      <c r="FB313" s="1708"/>
      <c r="FC313" s="1708"/>
      <c r="FD313" s="1708"/>
      <c r="FE313" s="1708"/>
      <c r="FF313" s="1708"/>
      <c r="FG313" s="1708"/>
      <c r="FH313" s="1708"/>
      <c r="FI313" s="1708"/>
      <c r="FJ313" s="1708"/>
      <c r="FK313" s="1708"/>
      <c r="FL313" s="1708"/>
      <c r="FM313" s="1708"/>
      <c r="FN313" s="1708"/>
      <c r="FO313" s="1708"/>
      <c r="FP313" s="1708"/>
      <c r="FQ313" s="1708"/>
      <c r="FR313" s="1708"/>
      <c r="FS313" s="1708"/>
      <c r="FT313" s="1708"/>
      <c r="FU313" s="1708"/>
      <c r="FV313" s="1708"/>
      <c r="FW313" s="1708"/>
      <c r="FX313" s="1708"/>
      <c r="FY313" s="1708"/>
      <c r="FZ313" s="1708"/>
      <c r="GA313" s="1708"/>
      <c r="GB313" s="1708"/>
      <c r="GC313" s="1708"/>
      <c r="GD313" s="1708"/>
      <c r="GE313" s="1708"/>
      <c r="GF313" s="1708"/>
      <c r="GG313" s="1708"/>
      <c r="GH313" s="1708"/>
      <c r="GI313" s="1708"/>
      <c r="GJ313" s="1708"/>
      <c r="GK313" s="1708"/>
      <c r="GL313" s="1708"/>
      <c r="GM313" s="1708"/>
      <c r="GN313" s="1708"/>
      <c r="GO313" s="1708"/>
      <c r="GP313" s="1708"/>
      <c r="GQ313" s="1708"/>
      <c r="GR313" s="1708"/>
      <c r="GS313" s="1708"/>
      <c r="GT313" s="1708"/>
      <c r="GU313" s="1708"/>
      <c r="GV313" s="1708"/>
      <c r="GW313" s="1708"/>
      <c r="GX313" s="1708"/>
      <c r="GY313" s="1708"/>
      <c r="GZ313" s="1708"/>
      <c r="HA313" s="1708"/>
      <c r="HB313" s="1708"/>
      <c r="HC313" s="1708"/>
      <c r="HD313" s="1708"/>
      <c r="HE313" s="1708"/>
      <c r="HF313" s="1708"/>
      <c r="HG313" s="1708"/>
      <c r="HH313" s="1708"/>
      <c r="HI313" s="1708"/>
      <c r="HJ313" s="1708"/>
      <c r="HK313" s="1708"/>
      <c r="HL313" s="1708"/>
      <c r="HM313" s="1708"/>
      <c r="HN313" s="1708"/>
      <c r="HO313" s="1708"/>
      <c r="HP313" s="1708"/>
      <c r="HQ313" s="1708"/>
      <c r="HR313" s="1708"/>
      <c r="HS313" s="1708"/>
      <c r="HT313" s="1708"/>
      <c r="HU313" s="1708"/>
      <c r="HV313" s="1708"/>
      <c r="HW313" s="1708"/>
      <c r="HX313" s="1708"/>
      <c r="HY313" s="1708"/>
      <c r="HZ313" s="1708"/>
      <c r="IA313" s="1708"/>
      <c r="IB313" s="1708"/>
      <c r="IC313" s="1708"/>
      <c r="ID313" s="1708"/>
      <c r="IE313" s="1708"/>
      <c r="IF313" s="1708"/>
      <c r="IG313" s="1708"/>
      <c r="IH313" s="1708"/>
      <c r="II313" s="1708"/>
      <c r="IJ313" s="1708"/>
      <c r="IK313" s="1708"/>
      <c r="IL313" s="1708"/>
      <c r="IM313" s="1708"/>
      <c r="IN313" s="1708"/>
      <c r="IO313" s="1708"/>
      <c r="IP313" s="1708"/>
      <c r="IQ313" s="1708"/>
      <c r="IR313" s="1708"/>
      <c r="IS313" s="1708"/>
      <c r="IT313" s="1708"/>
      <c r="IU313" s="1708"/>
      <c r="IV313" s="1708"/>
    </row>
    <row r="314" spans="2:256" s="57" customFormat="1" x14ac:dyDescent="0.25">
      <c r="B314" s="1836"/>
      <c r="G314" s="1849"/>
      <c r="J314" s="1850"/>
      <c r="K314" s="1850"/>
      <c r="S314" s="1708"/>
      <c r="T314" s="1708"/>
      <c r="U314" s="1708"/>
      <c r="V314" s="1708"/>
      <c r="W314" s="1708"/>
      <c r="X314" s="1708"/>
      <c r="Y314" s="1708"/>
      <c r="Z314" s="1708"/>
      <c r="AA314" s="1708"/>
      <c r="AB314" s="1708"/>
      <c r="AC314" s="1708"/>
      <c r="AD314" s="1708"/>
      <c r="AE314" s="1708"/>
      <c r="AF314" s="1708"/>
      <c r="AG314" s="1708"/>
      <c r="AH314" s="1708"/>
      <c r="AI314" s="1708"/>
      <c r="AJ314" s="1708"/>
      <c r="AK314" s="1708"/>
      <c r="AL314" s="1708"/>
      <c r="AM314" s="1708"/>
      <c r="AN314" s="1708"/>
      <c r="AO314" s="1708"/>
      <c r="AP314" s="1708"/>
      <c r="AQ314" s="1708"/>
      <c r="AR314" s="1708"/>
      <c r="AS314" s="1708"/>
      <c r="AT314" s="1708"/>
      <c r="AU314" s="1708"/>
      <c r="AV314" s="1708"/>
      <c r="AW314" s="1708"/>
      <c r="AX314" s="1708"/>
      <c r="AY314" s="1708"/>
      <c r="AZ314" s="1708"/>
      <c r="BA314" s="1708"/>
      <c r="BB314" s="1708"/>
      <c r="BC314" s="1708"/>
      <c r="BD314" s="1708"/>
      <c r="BE314" s="1708"/>
      <c r="BF314" s="1708"/>
      <c r="BG314" s="1708"/>
      <c r="BH314" s="1708"/>
      <c r="BI314" s="1708"/>
      <c r="BJ314" s="1708"/>
      <c r="BK314" s="1708"/>
      <c r="BL314" s="1708"/>
      <c r="BM314" s="1708"/>
      <c r="BN314" s="1708"/>
      <c r="BO314" s="1708"/>
      <c r="BP314" s="1708"/>
      <c r="BQ314" s="1708"/>
      <c r="BR314" s="1708"/>
      <c r="BS314" s="1708"/>
      <c r="BT314" s="1708"/>
      <c r="BU314" s="1708"/>
      <c r="BV314" s="1708"/>
      <c r="BW314" s="1708"/>
      <c r="BX314" s="1708"/>
      <c r="BY314" s="1708"/>
      <c r="BZ314" s="1708"/>
      <c r="CA314" s="1708"/>
      <c r="CB314" s="1708"/>
      <c r="CC314" s="1708"/>
      <c r="CD314" s="1708"/>
      <c r="CE314" s="1708"/>
      <c r="CF314" s="1708"/>
      <c r="CG314" s="1708"/>
      <c r="CH314" s="1708"/>
      <c r="CI314" s="1708"/>
      <c r="CJ314" s="1708"/>
      <c r="CK314" s="1708"/>
      <c r="CL314" s="1708"/>
      <c r="CM314" s="1708"/>
      <c r="CN314" s="1708"/>
      <c r="CO314" s="1708"/>
      <c r="CP314" s="1708"/>
      <c r="CQ314" s="1708"/>
      <c r="CR314" s="1708"/>
      <c r="CS314" s="1708"/>
      <c r="CT314" s="1708"/>
      <c r="CU314" s="1708"/>
      <c r="CV314" s="1708"/>
      <c r="CW314" s="1708"/>
      <c r="CX314" s="1708"/>
      <c r="CY314" s="1708"/>
      <c r="CZ314" s="1708"/>
      <c r="DA314" s="1708"/>
      <c r="DB314" s="1708"/>
      <c r="DC314" s="1708"/>
      <c r="DD314" s="1708"/>
      <c r="DE314" s="1708"/>
      <c r="DF314" s="1708"/>
      <c r="DG314" s="1708"/>
      <c r="DH314" s="1708"/>
      <c r="DI314" s="1708"/>
      <c r="DJ314" s="1708"/>
      <c r="DK314" s="1708"/>
      <c r="DL314" s="1708"/>
      <c r="DM314" s="1708"/>
      <c r="DN314" s="1708"/>
      <c r="DO314" s="1708"/>
      <c r="DP314" s="1708"/>
      <c r="DQ314" s="1708"/>
      <c r="DR314" s="1708"/>
      <c r="DS314" s="1708"/>
      <c r="DT314" s="1708"/>
      <c r="DU314" s="1708"/>
      <c r="DV314" s="1708"/>
      <c r="DW314" s="1708"/>
      <c r="DX314" s="1708"/>
      <c r="DY314" s="1708"/>
      <c r="DZ314" s="1708"/>
      <c r="EA314" s="1708"/>
      <c r="EB314" s="1708"/>
      <c r="EC314" s="1708"/>
      <c r="ED314" s="1708"/>
      <c r="EE314" s="1708"/>
      <c r="EF314" s="1708"/>
      <c r="EG314" s="1708"/>
      <c r="EH314" s="1708"/>
      <c r="EI314" s="1708"/>
      <c r="EJ314" s="1708"/>
      <c r="EK314" s="1708"/>
      <c r="EL314" s="1708"/>
      <c r="EM314" s="1708"/>
      <c r="EN314" s="1708"/>
      <c r="EO314" s="1708"/>
      <c r="EP314" s="1708"/>
      <c r="EQ314" s="1708"/>
      <c r="ER314" s="1708"/>
      <c r="ES314" s="1708"/>
      <c r="ET314" s="1708"/>
      <c r="EU314" s="1708"/>
      <c r="EV314" s="1708"/>
      <c r="EW314" s="1708"/>
      <c r="EX314" s="1708"/>
      <c r="EY314" s="1708"/>
      <c r="EZ314" s="1708"/>
      <c r="FA314" s="1708"/>
      <c r="FB314" s="1708"/>
      <c r="FC314" s="1708"/>
      <c r="FD314" s="1708"/>
      <c r="FE314" s="1708"/>
      <c r="FF314" s="1708"/>
      <c r="FG314" s="1708"/>
      <c r="FH314" s="1708"/>
      <c r="FI314" s="1708"/>
      <c r="FJ314" s="1708"/>
      <c r="FK314" s="1708"/>
      <c r="FL314" s="1708"/>
      <c r="FM314" s="1708"/>
      <c r="FN314" s="1708"/>
      <c r="FO314" s="1708"/>
      <c r="FP314" s="1708"/>
      <c r="FQ314" s="1708"/>
      <c r="FR314" s="1708"/>
      <c r="FS314" s="1708"/>
      <c r="FT314" s="1708"/>
      <c r="FU314" s="1708"/>
      <c r="FV314" s="1708"/>
      <c r="FW314" s="1708"/>
      <c r="FX314" s="1708"/>
      <c r="FY314" s="1708"/>
      <c r="FZ314" s="1708"/>
      <c r="GA314" s="1708"/>
      <c r="GB314" s="1708"/>
      <c r="GC314" s="1708"/>
      <c r="GD314" s="1708"/>
      <c r="GE314" s="1708"/>
      <c r="GF314" s="1708"/>
      <c r="GG314" s="1708"/>
      <c r="GH314" s="1708"/>
      <c r="GI314" s="1708"/>
      <c r="GJ314" s="1708"/>
      <c r="GK314" s="1708"/>
      <c r="GL314" s="1708"/>
      <c r="GM314" s="1708"/>
      <c r="GN314" s="1708"/>
      <c r="GO314" s="1708"/>
      <c r="GP314" s="1708"/>
      <c r="GQ314" s="1708"/>
      <c r="GR314" s="1708"/>
      <c r="GS314" s="1708"/>
      <c r="GT314" s="1708"/>
      <c r="GU314" s="1708"/>
      <c r="GV314" s="1708"/>
      <c r="GW314" s="1708"/>
      <c r="GX314" s="1708"/>
      <c r="GY314" s="1708"/>
      <c r="GZ314" s="1708"/>
      <c r="HA314" s="1708"/>
      <c r="HB314" s="1708"/>
      <c r="HC314" s="1708"/>
      <c r="HD314" s="1708"/>
      <c r="HE314" s="1708"/>
      <c r="HF314" s="1708"/>
      <c r="HG314" s="1708"/>
      <c r="HH314" s="1708"/>
      <c r="HI314" s="1708"/>
      <c r="HJ314" s="1708"/>
      <c r="HK314" s="1708"/>
      <c r="HL314" s="1708"/>
      <c r="HM314" s="1708"/>
      <c r="HN314" s="1708"/>
      <c r="HO314" s="1708"/>
      <c r="HP314" s="1708"/>
      <c r="HQ314" s="1708"/>
      <c r="HR314" s="1708"/>
      <c r="HS314" s="1708"/>
      <c r="HT314" s="1708"/>
      <c r="HU314" s="1708"/>
      <c r="HV314" s="1708"/>
      <c r="HW314" s="1708"/>
      <c r="HX314" s="1708"/>
      <c r="HY314" s="1708"/>
      <c r="HZ314" s="1708"/>
      <c r="IA314" s="1708"/>
      <c r="IB314" s="1708"/>
      <c r="IC314" s="1708"/>
      <c r="ID314" s="1708"/>
      <c r="IE314" s="1708"/>
      <c r="IF314" s="1708"/>
      <c r="IG314" s="1708"/>
      <c r="IH314" s="1708"/>
      <c r="II314" s="1708"/>
      <c r="IJ314" s="1708"/>
      <c r="IK314" s="1708"/>
      <c r="IL314" s="1708"/>
      <c r="IM314" s="1708"/>
      <c r="IN314" s="1708"/>
      <c r="IO314" s="1708"/>
      <c r="IP314" s="1708"/>
      <c r="IQ314" s="1708"/>
      <c r="IR314" s="1708"/>
      <c r="IS314" s="1708"/>
      <c r="IT314" s="1708"/>
      <c r="IU314" s="1708"/>
      <c r="IV314" s="1708"/>
    </row>
    <row r="315" spans="2:256" s="57" customFormat="1" x14ac:dyDescent="0.25">
      <c r="B315" s="1836"/>
      <c r="G315" s="1849"/>
      <c r="J315" s="1850"/>
      <c r="K315" s="1850"/>
      <c r="S315" s="1708"/>
      <c r="T315" s="1708"/>
      <c r="U315" s="1708"/>
      <c r="V315" s="1708"/>
      <c r="W315" s="1708"/>
      <c r="X315" s="1708"/>
      <c r="Y315" s="1708"/>
      <c r="Z315" s="1708"/>
      <c r="AA315" s="1708"/>
      <c r="AB315" s="1708"/>
      <c r="AC315" s="1708"/>
      <c r="AD315" s="1708"/>
      <c r="AE315" s="1708"/>
      <c r="AF315" s="1708"/>
      <c r="AG315" s="1708"/>
      <c r="AH315" s="1708"/>
      <c r="AI315" s="1708"/>
      <c r="AJ315" s="1708"/>
      <c r="AK315" s="1708"/>
      <c r="AL315" s="1708"/>
      <c r="AM315" s="1708"/>
      <c r="AN315" s="1708"/>
      <c r="AO315" s="1708"/>
      <c r="AP315" s="1708"/>
      <c r="AQ315" s="1708"/>
      <c r="AR315" s="1708"/>
      <c r="AS315" s="1708"/>
      <c r="AT315" s="1708"/>
      <c r="AU315" s="1708"/>
      <c r="AV315" s="1708"/>
      <c r="AW315" s="1708"/>
      <c r="AX315" s="1708"/>
      <c r="AY315" s="1708"/>
      <c r="AZ315" s="1708"/>
      <c r="BA315" s="1708"/>
      <c r="BB315" s="1708"/>
      <c r="BC315" s="1708"/>
      <c r="BD315" s="1708"/>
      <c r="BE315" s="1708"/>
      <c r="BF315" s="1708"/>
      <c r="BG315" s="1708"/>
      <c r="BH315" s="1708"/>
      <c r="BI315" s="1708"/>
      <c r="BJ315" s="1708"/>
      <c r="BK315" s="1708"/>
      <c r="BL315" s="1708"/>
      <c r="BM315" s="1708"/>
      <c r="BN315" s="1708"/>
      <c r="BO315" s="1708"/>
      <c r="BP315" s="1708"/>
      <c r="BQ315" s="1708"/>
      <c r="BR315" s="1708"/>
      <c r="BS315" s="1708"/>
      <c r="BT315" s="1708"/>
      <c r="BU315" s="1708"/>
      <c r="BV315" s="1708"/>
      <c r="BW315" s="1708"/>
      <c r="BX315" s="1708"/>
      <c r="BY315" s="1708"/>
      <c r="BZ315" s="1708"/>
      <c r="CA315" s="1708"/>
      <c r="CB315" s="1708"/>
      <c r="CC315" s="1708"/>
      <c r="CD315" s="1708"/>
      <c r="CE315" s="1708"/>
      <c r="CF315" s="1708"/>
      <c r="CG315" s="1708"/>
      <c r="CH315" s="1708"/>
      <c r="CI315" s="1708"/>
      <c r="CJ315" s="1708"/>
      <c r="CK315" s="1708"/>
      <c r="CL315" s="1708"/>
      <c r="CM315" s="1708"/>
      <c r="CN315" s="1708"/>
      <c r="CO315" s="1708"/>
      <c r="CP315" s="1708"/>
      <c r="CQ315" s="1708"/>
      <c r="CR315" s="1708"/>
      <c r="CS315" s="1708"/>
      <c r="CT315" s="1708"/>
      <c r="CU315" s="1708"/>
      <c r="CV315" s="1708"/>
      <c r="CW315" s="1708"/>
      <c r="CX315" s="1708"/>
      <c r="CY315" s="1708"/>
      <c r="CZ315" s="1708"/>
      <c r="DA315" s="1708"/>
      <c r="DB315" s="1708"/>
      <c r="DC315" s="1708"/>
      <c r="DD315" s="1708"/>
      <c r="DE315" s="1708"/>
      <c r="DF315" s="1708"/>
      <c r="DG315" s="1708"/>
      <c r="DH315" s="1708"/>
      <c r="DI315" s="1708"/>
      <c r="DJ315" s="1708"/>
      <c r="DK315" s="1708"/>
      <c r="DL315" s="1708"/>
      <c r="DM315" s="1708"/>
      <c r="DN315" s="1708"/>
      <c r="DO315" s="1708"/>
      <c r="DP315" s="1708"/>
      <c r="DQ315" s="1708"/>
      <c r="DR315" s="1708"/>
      <c r="DS315" s="1708"/>
      <c r="DT315" s="1708"/>
      <c r="DU315" s="1708"/>
      <c r="DV315" s="1708"/>
      <c r="DW315" s="1708"/>
      <c r="DX315" s="1708"/>
      <c r="DY315" s="1708"/>
      <c r="DZ315" s="1708"/>
      <c r="EA315" s="1708"/>
      <c r="EB315" s="1708"/>
      <c r="EC315" s="1708"/>
      <c r="ED315" s="1708"/>
      <c r="EE315" s="1708"/>
      <c r="EF315" s="1708"/>
      <c r="EG315" s="1708"/>
      <c r="EH315" s="1708"/>
      <c r="EI315" s="1708"/>
      <c r="EJ315" s="1708"/>
      <c r="EK315" s="1708"/>
      <c r="EL315" s="1708"/>
      <c r="EM315" s="1708"/>
      <c r="EN315" s="1708"/>
      <c r="EO315" s="1708"/>
      <c r="EP315" s="1708"/>
      <c r="EQ315" s="1708"/>
      <c r="ER315" s="1708"/>
      <c r="ES315" s="1708"/>
      <c r="ET315" s="1708"/>
      <c r="EU315" s="1708"/>
      <c r="EV315" s="1708"/>
      <c r="EW315" s="1708"/>
      <c r="EX315" s="1708"/>
      <c r="EY315" s="1708"/>
      <c r="EZ315" s="1708"/>
      <c r="FA315" s="1708"/>
      <c r="FB315" s="1708"/>
      <c r="FC315" s="1708"/>
      <c r="FD315" s="1708"/>
      <c r="FE315" s="1708"/>
      <c r="FF315" s="1708"/>
      <c r="FG315" s="1708"/>
      <c r="FH315" s="1708"/>
      <c r="FI315" s="1708"/>
      <c r="FJ315" s="1708"/>
      <c r="FK315" s="1708"/>
      <c r="FL315" s="1708"/>
      <c r="FM315" s="1708"/>
      <c r="FN315" s="1708"/>
      <c r="FO315" s="1708"/>
      <c r="FP315" s="1708"/>
      <c r="FQ315" s="1708"/>
      <c r="FR315" s="1708"/>
      <c r="FS315" s="1708"/>
      <c r="FT315" s="1708"/>
      <c r="FU315" s="1708"/>
      <c r="FV315" s="1708"/>
      <c r="FW315" s="1708"/>
      <c r="FX315" s="1708"/>
      <c r="FY315" s="1708"/>
      <c r="FZ315" s="1708"/>
      <c r="GA315" s="1708"/>
      <c r="GB315" s="1708"/>
      <c r="GC315" s="1708"/>
      <c r="GD315" s="1708"/>
      <c r="GE315" s="1708"/>
      <c r="GF315" s="1708"/>
      <c r="GG315" s="1708"/>
      <c r="GH315" s="1708"/>
      <c r="GI315" s="1708"/>
      <c r="GJ315" s="1708"/>
      <c r="GK315" s="1708"/>
      <c r="GL315" s="1708"/>
      <c r="GM315" s="1708"/>
      <c r="GN315" s="1708"/>
      <c r="GO315" s="1708"/>
      <c r="GP315" s="1708"/>
      <c r="GQ315" s="1708"/>
      <c r="GR315" s="1708"/>
      <c r="GS315" s="1708"/>
      <c r="GT315" s="1708"/>
      <c r="GU315" s="1708"/>
      <c r="GV315" s="1708"/>
      <c r="GW315" s="1708"/>
      <c r="GX315" s="1708"/>
      <c r="GY315" s="1708"/>
      <c r="GZ315" s="1708"/>
      <c r="HA315" s="1708"/>
      <c r="HB315" s="1708"/>
      <c r="HC315" s="1708"/>
      <c r="HD315" s="1708"/>
      <c r="HE315" s="1708"/>
      <c r="HF315" s="1708"/>
      <c r="HG315" s="1708"/>
      <c r="HH315" s="1708"/>
      <c r="HI315" s="1708"/>
      <c r="HJ315" s="1708"/>
      <c r="HK315" s="1708"/>
      <c r="HL315" s="1708"/>
      <c r="HM315" s="1708"/>
      <c r="HN315" s="1708"/>
      <c r="HO315" s="1708"/>
      <c r="HP315" s="1708"/>
      <c r="HQ315" s="1708"/>
      <c r="HR315" s="1708"/>
      <c r="HS315" s="1708"/>
      <c r="HT315" s="1708"/>
      <c r="HU315" s="1708"/>
      <c r="HV315" s="1708"/>
      <c r="HW315" s="1708"/>
      <c r="HX315" s="1708"/>
      <c r="HY315" s="1708"/>
      <c r="HZ315" s="1708"/>
      <c r="IA315" s="1708"/>
      <c r="IB315" s="1708"/>
      <c r="IC315" s="1708"/>
      <c r="ID315" s="1708"/>
      <c r="IE315" s="1708"/>
      <c r="IF315" s="1708"/>
      <c r="IG315" s="1708"/>
      <c r="IH315" s="1708"/>
      <c r="II315" s="1708"/>
      <c r="IJ315" s="1708"/>
      <c r="IK315" s="1708"/>
      <c r="IL315" s="1708"/>
      <c r="IM315" s="1708"/>
      <c r="IN315" s="1708"/>
      <c r="IO315" s="1708"/>
      <c r="IP315" s="1708"/>
      <c r="IQ315" s="1708"/>
      <c r="IR315" s="1708"/>
      <c r="IS315" s="1708"/>
      <c r="IT315" s="1708"/>
      <c r="IU315" s="1708"/>
      <c r="IV315" s="1708"/>
    </row>
    <row r="316" spans="2:256" s="57" customFormat="1" x14ac:dyDescent="0.25">
      <c r="B316" s="1836"/>
      <c r="G316" s="1849"/>
      <c r="J316" s="1850"/>
      <c r="K316" s="1850"/>
      <c r="S316" s="1708"/>
      <c r="T316" s="1708"/>
      <c r="U316" s="1708"/>
      <c r="V316" s="1708"/>
      <c r="W316" s="1708"/>
      <c r="X316" s="1708"/>
      <c r="Y316" s="1708"/>
      <c r="Z316" s="1708"/>
      <c r="AA316" s="1708"/>
      <c r="AB316" s="1708"/>
      <c r="AC316" s="1708"/>
      <c r="AD316" s="1708"/>
      <c r="AE316" s="1708"/>
      <c r="AF316" s="1708"/>
      <c r="AG316" s="1708"/>
      <c r="AH316" s="1708"/>
      <c r="AI316" s="1708"/>
      <c r="AJ316" s="1708"/>
      <c r="AK316" s="1708"/>
      <c r="AL316" s="1708"/>
      <c r="AM316" s="1708"/>
      <c r="AN316" s="1708"/>
      <c r="AO316" s="1708"/>
      <c r="AP316" s="1708"/>
      <c r="AQ316" s="1708"/>
      <c r="AR316" s="1708"/>
      <c r="AS316" s="1708"/>
      <c r="AT316" s="1708"/>
      <c r="AU316" s="1708"/>
      <c r="AV316" s="1708"/>
      <c r="AW316" s="1708"/>
      <c r="AX316" s="1708"/>
      <c r="AY316" s="1708"/>
      <c r="AZ316" s="1708"/>
      <c r="BA316" s="1708"/>
      <c r="BB316" s="1708"/>
      <c r="BC316" s="1708"/>
      <c r="BD316" s="1708"/>
      <c r="BE316" s="1708"/>
      <c r="BF316" s="1708"/>
      <c r="BG316" s="1708"/>
      <c r="BH316" s="1708"/>
      <c r="BI316" s="1708"/>
      <c r="BJ316" s="1708"/>
      <c r="BK316" s="1708"/>
      <c r="BL316" s="1708"/>
      <c r="BM316" s="1708"/>
      <c r="BN316" s="1708"/>
      <c r="BO316" s="1708"/>
      <c r="BP316" s="1708"/>
      <c r="BQ316" s="1708"/>
      <c r="BR316" s="1708"/>
      <c r="BS316" s="1708"/>
      <c r="BT316" s="1708"/>
      <c r="BU316" s="1708"/>
      <c r="BV316" s="1708"/>
      <c r="BW316" s="1708"/>
      <c r="BX316" s="1708"/>
      <c r="BY316" s="1708"/>
      <c r="BZ316" s="1708"/>
      <c r="CA316" s="1708"/>
      <c r="CB316" s="1708"/>
      <c r="CC316" s="1708"/>
      <c r="CD316" s="1708"/>
      <c r="CE316" s="1708"/>
      <c r="CF316" s="1708"/>
      <c r="CG316" s="1708"/>
      <c r="CH316" s="1708"/>
      <c r="CI316" s="1708"/>
      <c r="CJ316" s="1708"/>
      <c r="CK316" s="1708"/>
      <c r="CL316" s="1708"/>
      <c r="CM316" s="1708"/>
      <c r="CN316" s="1708"/>
      <c r="CO316" s="1708"/>
      <c r="CP316" s="1708"/>
      <c r="CQ316" s="1708"/>
      <c r="CR316" s="1708"/>
      <c r="CS316" s="1708"/>
      <c r="CT316" s="1708"/>
      <c r="CU316" s="1708"/>
      <c r="CV316" s="1708"/>
      <c r="CW316" s="1708"/>
      <c r="CX316" s="1708"/>
      <c r="CY316" s="1708"/>
      <c r="CZ316" s="1708"/>
      <c r="DA316" s="1708"/>
      <c r="DB316" s="1708"/>
      <c r="DC316" s="1708"/>
      <c r="DD316" s="1708"/>
      <c r="DE316" s="1708"/>
      <c r="DF316" s="1708"/>
      <c r="DG316" s="1708"/>
      <c r="DH316" s="1708"/>
      <c r="DI316" s="1708"/>
      <c r="DJ316" s="1708"/>
      <c r="DK316" s="1708"/>
      <c r="DL316" s="1708"/>
      <c r="DM316" s="1708"/>
      <c r="DN316" s="1708"/>
      <c r="DO316" s="1708"/>
      <c r="DP316" s="1708"/>
      <c r="DQ316" s="1708"/>
      <c r="DR316" s="1708"/>
      <c r="DS316" s="1708"/>
      <c r="DT316" s="1708"/>
      <c r="DU316" s="1708"/>
      <c r="DV316" s="1708"/>
      <c r="DW316" s="1708"/>
      <c r="DX316" s="1708"/>
      <c r="DY316" s="1708"/>
      <c r="DZ316" s="1708"/>
      <c r="EA316" s="1708"/>
      <c r="EB316" s="1708"/>
      <c r="EC316" s="1708"/>
      <c r="ED316" s="1708"/>
      <c r="EE316" s="1708"/>
      <c r="EF316" s="1708"/>
      <c r="EG316" s="1708"/>
      <c r="EH316" s="1708"/>
      <c r="EI316" s="1708"/>
      <c r="EJ316" s="1708"/>
      <c r="EK316" s="1708"/>
      <c r="EL316" s="1708"/>
      <c r="EM316" s="1708"/>
      <c r="EN316" s="1708"/>
      <c r="EO316" s="1708"/>
      <c r="EP316" s="1708"/>
      <c r="EQ316" s="1708"/>
      <c r="ER316" s="1708"/>
      <c r="ES316" s="1708"/>
      <c r="ET316" s="1708"/>
      <c r="EU316" s="1708"/>
      <c r="EV316" s="1708"/>
      <c r="EW316" s="1708"/>
      <c r="EX316" s="1708"/>
      <c r="EY316" s="1708"/>
      <c r="EZ316" s="1708"/>
      <c r="FA316" s="1708"/>
      <c r="FB316" s="1708"/>
      <c r="FC316" s="1708"/>
      <c r="FD316" s="1708"/>
      <c r="FE316" s="1708"/>
      <c r="FF316" s="1708"/>
      <c r="FG316" s="1708"/>
      <c r="FH316" s="1708"/>
      <c r="FI316" s="1708"/>
      <c r="FJ316" s="1708"/>
      <c r="FK316" s="1708"/>
      <c r="FL316" s="1708"/>
      <c r="FM316" s="1708"/>
      <c r="FN316" s="1708"/>
      <c r="FO316" s="1708"/>
      <c r="FP316" s="1708"/>
      <c r="FQ316" s="1708"/>
      <c r="FR316" s="1708"/>
      <c r="FS316" s="1708"/>
      <c r="FT316" s="1708"/>
      <c r="FU316" s="1708"/>
      <c r="FV316" s="1708"/>
      <c r="FW316" s="1708"/>
      <c r="FX316" s="1708"/>
      <c r="FY316" s="1708"/>
      <c r="FZ316" s="1708"/>
      <c r="GA316" s="1708"/>
      <c r="GB316" s="1708"/>
      <c r="GC316" s="1708"/>
      <c r="GD316" s="1708"/>
      <c r="GE316" s="1708"/>
      <c r="GF316" s="1708"/>
      <c r="GG316" s="1708"/>
      <c r="GH316" s="1708"/>
      <c r="GI316" s="1708"/>
      <c r="GJ316" s="1708"/>
      <c r="GK316" s="1708"/>
      <c r="GL316" s="1708"/>
      <c r="GM316" s="1708"/>
      <c r="GN316" s="1708"/>
      <c r="GO316" s="1708"/>
      <c r="GP316" s="1708"/>
      <c r="GQ316" s="1708"/>
      <c r="GR316" s="1708"/>
      <c r="GS316" s="1708"/>
      <c r="GT316" s="1708"/>
      <c r="GU316" s="1708"/>
      <c r="GV316" s="1708"/>
      <c r="GW316" s="1708"/>
      <c r="GX316" s="1708"/>
      <c r="GY316" s="1708"/>
      <c r="GZ316" s="1708"/>
      <c r="HA316" s="1708"/>
      <c r="HB316" s="1708"/>
      <c r="HC316" s="1708"/>
      <c r="HD316" s="1708"/>
      <c r="HE316" s="1708"/>
      <c r="HF316" s="1708"/>
      <c r="HG316" s="1708"/>
      <c r="HH316" s="1708"/>
      <c r="HI316" s="1708"/>
      <c r="HJ316" s="1708"/>
      <c r="HK316" s="1708"/>
      <c r="HL316" s="1708"/>
      <c r="HM316" s="1708"/>
      <c r="HN316" s="1708"/>
      <c r="HO316" s="1708"/>
      <c r="HP316" s="1708"/>
      <c r="HQ316" s="1708"/>
      <c r="HR316" s="1708"/>
      <c r="HS316" s="1708"/>
      <c r="HT316" s="1708"/>
      <c r="HU316" s="1708"/>
      <c r="HV316" s="1708"/>
      <c r="HW316" s="1708"/>
      <c r="HX316" s="1708"/>
      <c r="HY316" s="1708"/>
      <c r="HZ316" s="1708"/>
      <c r="IA316" s="1708"/>
      <c r="IB316" s="1708"/>
      <c r="IC316" s="1708"/>
      <c r="ID316" s="1708"/>
      <c r="IE316" s="1708"/>
      <c r="IF316" s="1708"/>
      <c r="IG316" s="1708"/>
      <c r="IH316" s="1708"/>
      <c r="II316" s="1708"/>
      <c r="IJ316" s="1708"/>
      <c r="IK316" s="1708"/>
      <c r="IL316" s="1708"/>
      <c r="IM316" s="1708"/>
      <c r="IN316" s="1708"/>
      <c r="IO316" s="1708"/>
      <c r="IP316" s="1708"/>
      <c r="IQ316" s="1708"/>
      <c r="IR316" s="1708"/>
      <c r="IS316" s="1708"/>
      <c r="IT316" s="1708"/>
      <c r="IU316" s="1708"/>
      <c r="IV316" s="1708"/>
    </row>
    <row r="317" spans="2:256" s="57" customFormat="1" x14ac:dyDescent="0.25">
      <c r="B317" s="1836"/>
      <c r="G317" s="1849"/>
      <c r="J317" s="1850"/>
      <c r="K317" s="1850"/>
      <c r="S317" s="1708"/>
      <c r="T317" s="1708"/>
      <c r="U317" s="1708"/>
      <c r="V317" s="1708"/>
      <c r="W317" s="1708"/>
      <c r="X317" s="1708"/>
      <c r="Y317" s="1708"/>
      <c r="Z317" s="1708"/>
      <c r="AA317" s="1708"/>
      <c r="AB317" s="1708"/>
      <c r="AC317" s="1708"/>
      <c r="AD317" s="1708"/>
      <c r="AE317" s="1708"/>
      <c r="AF317" s="1708"/>
      <c r="AG317" s="1708"/>
      <c r="AH317" s="1708"/>
      <c r="AI317" s="1708"/>
      <c r="AJ317" s="1708"/>
      <c r="AK317" s="1708"/>
      <c r="AL317" s="1708"/>
      <c r="AM317" s="1708"/>
      <c r="AN317" s="1708"/>
      <c r="AO317" s="1708"/>
      <c r="AP317" s="1708"/>
      <c r="AQ317" s="1708"/>
      <c r="AR317" s="1708"/>
      <c r="AS317" s="1708"/>
      <c r="AT317" s="1708"/>
      <c r="AU317" s="1708"/>
      <c r="AV317" s="1708"/>
      <c r="AW317" s="1708"/>
      <c r="AX317" s="1708"/>
      <c r="AY317" s="1708"/>
      <c r="AZ317" s="1708"/>
      <c r="BA317" s="1708"/>
      <c r="BB317" s="1708"/>
      <c r="BC317" s="1708"/>
      <c r="BD317" s="1708"/>
      <c r="BE317" s="1708"/>
      <c r="BF317" s="1708"/>
      <c r="BG317" s="1708"/>
      <c r="BH317" s="1708"/>
      <c r="BI317" s="1708"/>
      <c r="BJ317" s="1708"/>
      <c r="BK317" s="1708"/>
      <c r="BL317" s="1708"/>
      <c r="BM317" s="1708"/>
      <c r="BN317" s="1708"/>
      <c r="BO317" s="1708"/>
      <c r="BP317" s="1708"/>
      <c r="BQ317" s="1708"/>
      <c r="BR317" s="1708"/>
      <c r="BS317" s="1708"/>
      <c r="BT317" s="1708"/>
      <c r="BU317" s="1708"/>
      <c r="BV317" s="1708"/>
      <c r="BW317" s="1708"/>
      <c r="BX317" s="1708"/>
      <c r="BY317" s="1708"/>
      <c r="BZ317" s="1708"/>
      <c r="CA317" s="1708"/>
      <c r="CB317" s="1708"/>
      <c r="CC317" s="1708"/>
      <c r="CD317" s="1708"/>
      <c r="CE317" s="1708"/>
      <c r="CF317" s="1708"/>
      <c r="CG317" s="1708"/>
      <c r="CH317" s="1708"/>
      <c r="CI317" s="1708"/>
      <c r="CJ317" s="1708"/>
      <c r="CK317" s="1708"/>
      <c r="CL317" s="1708"/>
      <c r="CM317" s="1708"/>
      <c r="CN317" s="1708"/>
      <c r="CO317" s="1708"/>
      <c r="CP317" s="1708"/>
      <c r="CQ317" s="1708"/>
      <c r="CR317" s="1708"/>
      <c r="CS317" s="1708"/>
      <c r="CT317" s="1708"/>
      <c r="CU317" s="1708"/>
      <c r="CV317" s="1708"/>
      <c r="CW317" s="1708"/>
      <c r="CX317" s="1708"/>
      <c r="CY317" s="1708"/>
      <c r="CZ317" s="1708"/>
      <c r="DA317" s="1708"/>
      <c r="DB317" s="1708"/>
      <c r="DC317" s="1708"/>
      <c r="DD317" s="1708"/>
      <c r="DE317" s="1708"/>
      <c r="DF317" s="1708"/>
      <c r="DG317" s="1708"/>
      <c r="DH317" s="1708"/>
      <c r="DI317" s="1708"/>
      <c r="DJ317" s="1708"/>
      <c r="DK317" s="1708"/>
      <c r="DL317" s="1708"/>
      <c r="DM317" s="1708"/>
      <c r="DN317" s="1708"/>
      <c r="DO317" s="1708"/>
      <c r="DP317" s="1708"/>
      <c r="DQ317" s="1708"/>
      <c r="DR317" s="1708"/>
      <c r="DS317" s="1708"/>
      <c r="DT317" s="1708"/>
      <c r="DU317" s="1708"/>
      <c r="DV317" s="1708"/>
      <c r="DW317" s="1708"/>
      <c r="DX317" s="1708"/>
      <c r="DY317" s="1708"/>
      <c r="DZ317" s="1708"/>
      <c r="EA317" s="1708"/>
      <c r="EB317" s="1708"/>
      <c r="EC317" s="1708"/>
      <c r="ED317" s="1708"/>
      <c r="EE317" s="1708"/>
      <c r="EF317" s="1708"/>
      <c r="EG317" s="1708"/>
      <c r="EH317" s="1708"/>
      <c r="EI317" s="1708"/>
      <c r="EJ317" s="1708"/>
      <c r="EK317" s="1708"/>
      <c r="EL317" s="1708"/>
      <c r="EM317" s="1708"/>
      <c r="EN317" s="1708"/>
      <c r="EO317" s="1708"/>
      <c r="EP317" s="1708"/>
      <c r="EQ317" s="1708"/>
      <c r="ER317" s="1708"/>
      <c r="ES317" s="1708"/>
      <c r="ET317" s="1708"/>
      <c r="EU317" s="1708"/>
      <c r="EV317" s="1708"/>
      <c r="EW317" s="1708"/>
      <c r="EX317" s="1708"/>
      <c r="EY317" s="1708"/>
      <c r="EZ317" s="1708"/>
      <c r="FA317" s="1708"/>
      <c r="FB317" s="1708"/>
      <c r="FC317" s="1708"/>
      <c r="FD317" s="1708"/>
      <c r="FE317" s="1708"/>
      <c r="FF317" s="1708"/>
      <c r="FG317" s="1708"/>
      <c r="FH317" s="1708"/>
      <c r="FI317" s="1708"/>
      <c r="FJ317" s="1708"/>
      <c r="FK317" s="1708"/>
      <c r="FL317" s="1708"/>
      <c r="FM317" s="1708"/>
      <c r="FN317" s="1708"/>
      <c r="FO317" s="1708"/>
      <c r="FP317" s="1708"/>
      <c r="FQ317" s="1708"/>
      <c r="FR317" s="1708"/>
      <c r="FS317" s="1708"/>
      <c r="FT317" s="1708"/>
      <c r="FU317" s="1708"/>
      <c r="FV317" s="1708"/>
      <c r="FW317" s="1708"/>
      <c r="FX317" s="1708"/>
      <c r="FY317" s="1708"/>
      <c r="FZ317" s="1708"/>
      <c r="GA317" s="1708"/>
      <c r="GB317" s="1708"/>
      <c r="GC317" s="1708"/>
      <c r="GD317" s="1708"/>
      <c r="GE317" s="1708"/>
      <c r="GF317" s="1708"/>
      <c r="GG317" s="1708"/>
      <c r="GH317" s="1708"/>
      <c r="GI317" s="1708"/>
      <c r="GJ317" s="1708"/>
      <c r="GK317" s="1708"/>
      <c r="GL317" s="1708"/>
      <c r="GM317" s="1708"/>
      <c r="GN317" s="1708"/>
      <c r="GO317" s="1708"/>
      <c r="GP317" s="1708"/>
      <c r="GQ317" s="1708"/>
      <c r="GR317" s="1708"/>
      <c r="GS317" s="1708"/>
      <c r="GT317" s="1708"/>
      <c r="GU317" s="1708"/>
      <c r="GV317" s="1708"/>
      <c r="GW317" s="1708"/>
      <c r="GX317" s="1708"/>
      <c r="GY317" s="1708"/>
      <c r="GZ317" s="1708"/>
      <c r="HA317" s="1708"/>
      <c r="HB317" s="1708"/>
      <c r="HC317" s="1708"/>
      <c r="HD317" s="1708"/>
      <c r="HE317" s="1708"/>
      <c r="HF317" s="1708"/>
      <c r="HG317" s="1708"/>
      <c r="HH317" s="1708"/>
      <c r="HI317" s="1708"/>
      <c r="HJ317" s="1708"/>
      <c r="HK317" s="1708"/>
      <c r="HL317" s="1708"/>
      <c r="HM317" s="1708"/>
      <c r="HN317" s="1708"/>
      <c r="HO317" s="1708"/>
      <c r="HP317" s="1708"/>
      <c r="HQ317" s="1708"/>
      <c r="HR317" s="1708"/>
      <c r="HS317" s="1708"/>
      <c r="HT317" s="1708"/>
      <c r="HU317" s="1708"/>
      <c r="HV317" s="1708"/>
      <c r="HW317" s="1708"/>
      <c r="HX317" s="1708"/>
      <c r="HY317" s="1708"/>
      <c r="HZ317" s="1708"/>
      <c r="IA317" s="1708"/>
      <c r="IB317" s="1708"/>
      <c r="IC317" s="1708"/>
      <c r="ID317" s="1708"/>
      <c r="IE317" s="1708"/>
      <c r="IF317" s="1708"/>
      <c r="IG317" s="1708"/>
      <c r="IH317" s="1708"/>
      <c r="II317" s="1708"/>
      <c r="IJ317" s="1708"/>
      <c r="IK317" s="1708"/>
      <c r="IL317" s="1708"/>
      <c r="IM317" s="1708"/>
      <c r="IN317" s="1708"/>
      <c r="IO317" s="1708"/>
      <c r="IP317" s="1708"/>
      <c r="IQ317" s="1708"/>
      <c r="IR317" s="1708"/>
      <c r="IS317" s="1708"/>
      <c r="IT317" s="1708"/>
      <c r="IU317" s="1708"/>
      <c r="IV317" s="1708"/>
    </row>
    <row r="318" spans="2:256" s="57" customFormat="1" x14ac:dyDescent="0.25">
      <c r="B318" s="1836"/>
      <c r="G318" s="1849"/>
      <c r="J318" s="1850"/>
      <c r="K318" s="1850"/>
      <c r="S318" s="1708"/>
      <c r="T318" s="1708"/>
      <c r="U318" s="1708"/>
      <c r="V318" s="1708"/>
      <c r="W318" s="1708"/>
      <c r="X318" s="1708"/>
      <c r="Y318" s="1708"/>
      <c r="Z318" s="1708"/>
      <c r="AA318" s="1708"/>
      <c r="AB318" s="1708"/>
      <c r="AC318" s="1708"/>
      <c r="AD318" s="1708"/>
      <c r="AE318" s="1708"/>
      <c r="AF318" s="1708"/>
      <c r="AG318" s="1708"/>
      <c r="AH318" s="1708"/>
      <c r="AI318" s="1708"/>
      <c r="AJ318" s="1708"/>
      <c r="AK318" s="1708"/>
      <c r="AL318" s="1708"/>
      <c r="AM318" s="1708"/>
      <c r="AN318" s="1708"/>
      <c r="AO318" s="1708"/>
      <c r="AP318" s="1708"/>
      <c r="AQ318" s="1708"/>
      <c r="AR318" s="1708"/>
      <c r="AS318" s="1708"/>
      <c r="AT318" s="1708"/>
      <c r="AU318" s="1708"/>
      <c r="AV318" s="1708"/>
      <c r="AW318" s="1708"/>
      <c r="AX318" s="1708"/>
      <c r="AY318" s="1708"/>
      <c r="AZ318" s="1708"/>
      <c r="BA318" s="1708"/>
      <c r="BB318" s="1708"/>
      <c r="BC318" s="1708"/>
      <c r="BD318" s="1708"/>
      <c r="BE318" s="1708"/>
      <c r="BF318" s="1708"/>
      <c r="BG318" s="1708"/>
      <c r="BH318" s="1708"/>
      <c r="BI318" s="1708"/>
      <c r="BJ318" s="1708"/>
      <c r="BK318" s="1708"/>
      <c r="BL318" s="1708"/>
      <c r="BM318" s="1708"/>
      <c r="BN318" s="1708"/>
      <c r="BO318" s="1708"/>
      <c r="BP318" s="1708"/>
      <c r="BQ318" s="1708"/>
      <c r="BR318" s="1708"/>
      <c r="BS318" s="1708"/>
      <c r="BT318" s="1708"/>
      <c r="BU318" s="1708"/>
      <c r="BV318" s="1708"/>
      <c r="BW318" s="1708"/>
      <c r="BX318" s="1708"/>
      <c r="BY318" s="1708"/>
      <c r="BZ318" s="1708"/>
      <c r="CA318" s="1708"/>
      <c r="CB318" s="1708"/>
      <c r="CC318" s="1708"/>
      <c r="CD318" s="1708"/>
      <c r="CE318" s="1708"/>
      <c r="CF318" s="1708"/>
      <c r="CG318" s="1708"/>
      <c r="CH318" s="1708"/>
      <c r="CI318" s="1708"/>
      <c r="CJ318" s="1708"/>
      <c r="CK318" s="1708"/>
      <c r="CL318" s="1708"/>
      <c r="CM318" s="1708"/>
      <c r="CN318" s="1708"/>
      <c r="CO318" s="1708"/>
      <c r="CP318" s="1708"/>
      <c r="CQ318" s="1708"/>
      <c r="CR318" s="1708"/>
      <c r="CS318" s="1708"/>
      <c r="CT318" s="1708"/>
      <c r="CU318" s="1708"/>
      <c r="CV318" s="1708"/>
      <c r="CW318" s="1708"/>
      <c r="CX318" s="1708"/>
      <c r="CY318" s="1708"/>
      <c r="CZ318" s="1708"/>
      <c r="DA318" s="1708"/>
      <c r="DB318" s="1708"/>
      <c r="DC318" s="1708"/>
      <c r="DD318" s="1708"/>
      <c r="DE318" s="1708"/>
      <c r="DF318" s="1708"/>
      <c r="DG318" s="1708"/>
      <c r="DH318" s="1708"/>
      <c r="DI318" s="1708"/>
      <c r="DJ318" s="1708"/>
      <c r="DK318" s="1708"/>
      <c r="DL318" s="1708"/>
      <c r="DM318" s="1708"/>
      <c r="DN318" s="1708"/>
      <c r="DO318" s="1708"/>
      <c r="DP318" s="1708"/>
      <c r="DQ318" s="1708"/>
      <c r="DR318" s="1708"/>
      <c r="DS318" s="1708"/>
      <c r="DT318" s="1708"/>
      <c r="DU318" s="1708"/>
      <c r="DV318" s="1708"/>
      <c r="DW318" s="1708"/>
      <c r="DX318" s="1708"/>
      <c r="DY318" s="1708"/>
      <c r="DZ318" s="1708"/>
      <c r="EA318" s="1708"/>
      <c r="EB318" s="1708"/>
      <c r="EC318" s="1708"/>
      <c r="ED318" s="1708"/>
      <c r="EE318" s="1708"/>
      <c r="EF318" s="1708"/>
      <c r="EG318" s="1708"/>
      <c r="EH318" s="1708"/>
      <c r="EI318" s="1708"/>
      <c r="EJ318" s="1708"/>
      <c r="EK318" s="1708"/>
      <c r="EL318" s="1708"/>
      <c r="EM318" s="1708"/>
      <c r="EN318" s="1708"/>
      <c r="EO318" s="1708"/>
      <c r="EP318" s="1708"/>
      <c r="EQ318" s="1708"/>
      <c r="ER318" s="1708"/>
      <c r="ES318" s="1708"/>
      <c r="ET318" s="1708"/>
      <c r="EU318" s="1708"/>
      <c r="EV318" s="1708"/>
      <c r="EW318" s="1708"/>
      <c r="EX318" s="1708"/>
      <c r="EY318" s="1708"/>
      <c r="EZ318" s="1708"/>
      <c r="FA318" s="1708"/>
      <c r="FB318" s="1708"/>
      <c r="FC318" s="1708"/>
      <c r="FD318" s="1708"/>
      <c r="FE318" s="1708"/>
      <c r="FF318" s="1708"/>
      <c r="FG318" s="1708"/>
      <c r="FH318" s="1708"/>
      <c r="FI318" s="1708"/>
      <c r="FJ318" s="1708"/>
      <c r="FK318" s="1708"/>
      <c r="FL318" s="1708"/>
      <c r="FM318" s="1708"/>
      <c r="FN318" s="1708"/>
      <c r="FO318" s="1708"/>
      <c r="FP318" s="1708"/>
      <c r="FQ318" s="1708"/>
      <c r="FR318" s="1708"/>
      <c r="FS318" s="1708"/>
      <c r="FT318" s="1708"/>
      <c r="FU318" s="1708"/>
      <c r="FV318" s="1708"/>
      <c r="FW318" s="1708"/>
      <c r="FX318" s="1708"/>
      <c r="FY318" s="1708"/>
      <c r="FZ318" s="1708"/>
      <c r="GA318" s="1708"/>
      <c r="GB318" s="1708"/>
      <c r="GC318" s="1708"/>
      <c r="GD318" s="1708"/>
      <c r="GE318" s="1708"/>
      <c r="GF318" s="1708"/>
      <c r="GG318" s="1708"/>
      <c r="GH318" s="1708"/>
      <c r="GI318" s="1708"/>
      <c r="GJ318" s="1708"/>
      <c r="GK318" s="1708"/>
      <c r="GL318" s="1708"/>
      <c r="GM318" s="1708"/>
      <c r="GN318" s="1708"/>
      <c r="GO318" s="1708"/>
      <c r="GP318" s="1708"/>
      <c r="GQ318" s="1708"/>
      <c r="GR318" s="1708"/>
      <c r="GS318" s="1708"/>
      <c r="GT318" s="1708"/>
      <c r="GU318" s="1708"/>
      <c r="GV318" s="1708"/>
      <c r="GW318" s="1708"/>
      <c r="GX318" s="1708"/>
      <c r="GY318" s="1708"/>
      <c r="GZ318" s="1708"/>
      <c r="HA318" s="1708"/>
      <c r="HB318" s="1708"/>
      <c r="HC318" s="1708"/>
      <c r="HD318" s="1708"/>
      <c r="HE318" s="1708"/>
      <c r="HF318" s="1708"/>
      <c r="HG318" s="1708"/>
      <c r="HH318" s="1708"/>
      <c r="HI318" s="1708"/>
      <c r="HJ318" s="1708"/>
      <c r="HK318" s="1708"/>
      <c r="HL318" s="1708"/>
      <c r="HM318" s="1708"/>
      <c r="HN318" s="1708"/>
      <c r="HO318" s="1708"/>
      <c r="HP318" s="1708"/>
      <c r="HQ318" s="1708"/>
      <c r="HR318" s="1708"/>
      <c r="HS318" s="1708"/>
      <c r="HT318" s="1708"/>
      <c r="HU318" s="1708"/>
      <c r="HV318" s="1708"/>
      <c r="HW318" s="1708"/>
      <c r="HX318" s="1708"/>
      <c r="HY318" s="1708"/>
      <c r="HZ318" s="1708"/>
      <c r="IA318" s="1708"/>
      <c r="IB318" s="1708"/>
      <c r="IC318" s="1708"/>
      <c r="ID318" s="1708"/>
      <c r="IE318" s="1708"/>
      <c r="IF318" s="1708"/>
      <c r="IG318" s="1708"/>
      <c r="IH318" s="1708"/>
      <c r="II318" s="1708"/>
      <c r="IJ318" s="1708"/>
      <c r="IK318" s="1708"/>
      <c r="IL318" s="1708"/>
      <c r="IM318" s="1708"/>
      <c r="IN318" s="1708"/>
      <c r="IO318" s="1708"/>
      <c r="IP318" s="1708"/>
      <c r="IQ318" s="1708"/>
      <c r="IR318" s="1708"/>
      <c r="IS318" s="1708"/>
      <c r="IT318" s="1708"/>
      <c r="IU318" s="1708"/>
      <c r="IV318" s="1708"/>
    </row>
    <row r="319" spans="2:256" s="57" customFormat="1" x14ac:dyDescent="0.25">
      <c r="B319" s="1836"/>
      <c r="G319" s="1849"/>
      <c r="J319" s="1850"/>
      <c r="K319" s="1850"/>
      <c r="S319" s="1708"/>
      <c r="T319" s="1708"/>
      <c r="U319" s="1708"/>
      <c r="V319" s="1708"/>
      <c r="W319" s="1708"/>
      <c r="X319" s="1708"/>
      <c r="Y319" s="1708"/>
      <c r="Z319" s="1708"/>
      <c r="AA319" s="1708"/>
      <c r="AB319" s="1708"/>
      <c r="AC319" s="1708"/>
      <c r="AD319" s="1708"/>
      <c r="AE319" s="1708"/>
      <c r="AF319" s="1708"/>
      <c r="AG319" s="1708"/>
      <c r="AH319" s="1708"/>
      <c r="AI319" s="1708"/>
      <c r="AJ319" s="1708"/>
      <c r="AK319" s="1708"/>
      <c r="AL319" s="1708"/>
      <c r="AM319" s="1708"/>
      <c r="AN319" s="1708"/>
      <c r="AO319" s="1708"/>
      <c r="AP319" s="1708"/>
      <c r="AQ319" s="1708"/>
      <c r="AR319" s="1708"/>
      <c r="AS319" s="1708"/>
      <c r="AT319" s="1708"/>
      <c r="AU319" s="1708"/>
      <c r="AV319" s="1708"/>
      <c r="AW319" s="1708"/>
      <c r="AX319" s="1708"/>
      <c r="AY319" s="1708"/>
      <c r="AZ319" s="1708"/>
      <c r="BA319" s="1708"/>
      <c r="BB319" s="1708"/>
      <c r="BC319" s="1708"/>
      <c r="BD319" s="1708"/>
      <c r="BE319" s="1708"/>
      <c r="BF319" s="1708"/>
      <c r="BG319" s="1708"/>
      <c r="BH319" s="1708"/>
      <c r="BI319" s="1708"/>
      <c r="BJ319" s="1708"/>
      <c r="BK319" s="1708"/>
      <c r="BL319" s="1708"/>
      <c r="BM319" s="1708"/>
      <c r="BN319" s="1708"/>
      <c r="BO319" s="1708"/>
      <c r="BP319" s="1708"/>
      <c r="BQ319" s="1708"/>
      <c r="BR319" s="1708"/>
      <c r="BS319" s="1708"/>
      <c r="BT319" s="1708"/>
      <c r="BU319" s="1708"/>
      <c r="BV319" s="1708"/>
      <c r="BW319" s="1708"/>
      <c r="BX319" s="1708"/>
      <c r="BY319" s="1708"/>
      <c r="BZ319" s="1708"/>
      <c r="CA319" s="1708"/>
      <c r="CB319" s="1708"/>
      <c r="CC319" s="1708"/>
      <c r="CD319" s="1708"/>
      <c r="CE319" s="1708"/>
      <c r="CF319" s="1708"/>
      <c r="CG319" s="1708"/>
      <c r="CH319" s="1708"/>
      <c r="CI319" s="1708"/>
      <c r="CJ319" s="1708"/>
      <c r="CK319" s="1708"/>
      <c r="CL319" s="1708"/>
      <c r="CM319" s="1708"/>
      <c r="CN319" s="1708"/>
      <c r="CO319" s="1708"/>
      <c r="CP319" s="1708"/>
      <c r="CQ319" s="1708"/>
      <c r="CR319" s="1708"/>
      <c r="CS319" s="1708"/>
      <c r="CT319" s="1708"/>
      <c r="CU319" s="1708"/>
      <c r="CV319" s="1708"/>
      <c r="CW319" s="1708"/>
      <c r="CX319" s="1708"/>
      <c r="CY319" s="1708"/>
      <c r="CZ319" s="1708"/>
      <c r="DA319" s="1708"/>
      <c r="DB319" s="1708"/>
      <c r="DC319" s="1708"/>
      <c r="DD319" s="1708"/>
      <c r="DE319" s="1708"/>
      <c r="DF319" s="1708"/>
      <c r="DG319" s="1708"/>
      <c r="DH319" s="1708"/>
      <c r="DI319" s="1708"/>
      <c r="DJ319" s="1708"/>
      <c r="DK319" s="1708"/>
      <c r="DL319" s="1708"/>
      <c r="DM319" s="1708"/>
      <c r="DN319" s="1708"/>
      <c r="DO319" s="1708"/>
      <c r="DP319" s="1708"/>
      <c r="DQ319" s="1708"/>
      <c r="DR319" s="1708"/>
      <c r="DS319" s="1708"/>
      <c r="DT319" s="1708"/>
      <c r="DU319" s="1708"/>
      <c r="DV319" s="1708"/>
      <c r="DW319" s="1708"/>
      <c r="DX319" s="1708"/>
      <c r="DY319" s="1708"/>
      <c r="DZ319" s="1708"/>
      <c r="EA319" s="1708"/>
      <c r="EB319" s="1708"/>
      <c r="EC319" s="1708"/>
      <c r="ED319" s="1708"/>
      <c r="EE319" s="1708"/>
      <c r="EF319" s="1708"/>
      <c r="EG319" s="1708"/>
      <c r="EH319" s="1708"/>
      <c r="EI319" s="1708"/>
      <c r="EJ319" s="1708"/>
      <c r="EK319" s="1708"/>
      <c r="EL319" s="1708"/>
      <c r="EM319" s="1708"/>
      <c r="EN319" s="1708"/>
      <c r="EO319" s="1708"/>
      <c r="EP319" s="1708"/>
      <c r="EQ319" s="1708"/>
      <c r="ER319" s="1708"/>
      <c r="ES319" s="1708"/>
      <c r="ET319" s="1708"/>
      <c r="EU319" s="1708"/>
      <c r="EV319" s="1708"/>
      <c r="EW319" s="1708"/>
      <c r="EX319" s="1708"/>
      <c r="EY319" s="1708"/>
      <c r="EZ319" s="1708"/>
      <c r="FA319" s="1708"/>
      <c r="FB319" s="1708"/>
      <c r="FC319" s="1708"/>
      <c r="FD319" s="1708"/>
      <c r="FE319" s="1708"/>
      <c r="FF319" s="1708"/>
      <c r="FG319" s="1708"/>
      <c r="FH319" s="1708"/>
      <c r="FI319" s="1708"/>
      <c r="FJ319" s="1708"/>
      <c r="FK319" s="1708"/>
      <c r="FL319" s="1708"/>
      <c r="FM319" s="1708"/>
      <c r="FN319" s="1708"/>
      <c r="FO319" s="1708"/>
      <c r="FP319" s="1708"/>
      <c r="FQ319" s="1708"/>
      <c r="FR319" s="1708"/>
      <c r="FS319" s="1708"/>
      <c r="FT319" s="1708"/>
      <c r="FU319" s="1708"/>
      <c r="FV319" s="1708"/>
      <c r="FW319" s="1708"/>
      <c r="FX319" s="1708"/>
      <c r="FY319" s="1708"/>
      <c r="FZ319" s="1708"/>
      <c r="GA319" s="1708"/>
      <c r="GB319" s="1708"/>
      <c r="GC319" s="1708"/>
      <c r="GD319" s="1708"/>
      <c r="GE319" s="1708"/>
      <c r="GF319" s="1708"/>
      <c r="GG319" s="1708"/>
      <c r="GH319" s="1708"/>
      <c r="GI319" s="1708"/>
      <c r="GJ319" s="1708"/>
      <c r="GK319" s="1708"/>
      <c r="GL319" s="1708"/>
      <c r="GM319" s="1708"/>
      <c r="GN319" s="1708"/>
      <c r="GO319" s="1708"/>
      <c r="GP319" s="1708"/>
      <c r="GQ319" s="1708"/>
      <c r="GR319" s="1708"/>
      <c r="GS319" s="1708"/>
      <c r="GT319" s="1708"/>
      <c r="GU319" s="1708"/>
      <c r="GV319" s="1708"/>
      <c r="GW319" s="1708"/>
      <c r="GX319" s="1708"/>
      <c r="GY319" s="1708"/>
      <c r="GZ319" s="1708"/>
      <c r="HA319" s="1708"/>
      <c r="HB319" s="1708"/>
      <c r="HC319" s="1708"/>
      <c r="HD319" s="1708"/>
      <c r="HE319" s="1708"/>
      <c r="HF319" s="1708"/>
      <c r="HG319" s="1708"/>
      <c r="HH319" s="1708"/>
      <c r="HI319" s="1708"/>
      <c r="HJ319" s="1708"/>
      <c r="HK319" s="1708"/>
      <c r="HL319" s="1708"/>
      <c r="HM319" s="1708"/>
      <c r="HN319" s="1708"/>
      <c r="HO319" s="1708"/>
      <c r="HP319" s="1708"/>
      <c r="HQ319" s="1708"/>
      <c r="HR319" s="1708"/>
      <c r="HS319" s="1708"/>
      <c r="HT319" s="1708"/>
      <c r="HU319" s="1708"/>
      <c r="HV319" s="1708"/>
      <c r="HW319" s="1708"/>
      <c r="HX319" s="1708"/>
      <c r="HY319" s="1708"/>
      <c r="HZ319" s="1708"/>
      <c r="IA319" s="1708"/>
      <c r="IB319" s="1708"/>
      <c r="IC319" s="1708"/>
      <c r="ID319" s="1708"/>
      <c r="IE319" s="1708"/>
      <c r="IF319" s="1708"/>
      <c r="IG319" s="1708"/>
      <c r="IH319" s="1708"/>
      <c r="II319" s="1708"/>
      <c r="IJ319" s="1708"/>
      <c r="IK319" s="1708"/>
      <c r="IL319" s="1708"/>
      <c r="IM319" s="1708"/>
      <c r="IN319" s="1708"/>
      <c r="IO319" s="1708"/>
      <c r="IP319" s="1708"/>
      <c r="IQ319" s="1708"/>
      <c r="IR319" s="1708"/>
      <c r="IS319" s="1708"/>
      <c r="IT319" s="1708"/>
      <c r="IU319" s="1708"/>
      <c r="IV319" s="1708"/>
    </row>
    <row r="320" spans="2:256" s="57" customFormat="1" x14ac:dyDescent="0.25">
      <c r="B320" s="1836"/>
      <c r="G320" s="1849"/>
      <c r="J320" s="1850"/>
      <c r="K320" s="1850"/>
      <c r="S320" s="1708"/>
      <c r="T320" s="1708"/>
      <c r="U320" s="1708"/>
      <c r="V320" s="1708"/>
      <c r="W320" s="1708"/>
      <c r="X320" s="1708"/>
      <c r="Y320" s="1708"/>
      <c r="Z320" s="1708"/>
      <c r="AA320" s="1708"/>
      <c r="AB320" s="1708"/>
      <c r="AC320" s="1708"/>
      <c r="AD320" s="1708"/>
      <c r="AE320" s="1708"/>
      <c r="AF320" s="1708"/>
      <c r="AG320" s="1708"/>
      <c r="AH320" s="1708"/>
      <c r="AI320" s="1708"/>
      <c r="AJ320" s="1708"/>
      <c r="AK320" s="1708"/>
      <c r="AL320" s="1708"/>
      <c r="AM320" s="1708"/>
      <c r="AN320" s="1708"/>
      <c r="AO320" s="1708"/>
      <c r="AP320" s="1708"/>
      <c r="AQ320" s="1708"/>
      <c r="AR320" s="1708"/>
      <c r="AS320" s="1708"/>
      <c r="AT320" s="1708"/>
      <c r="AU320" s="1708"/>
      <c r="AV320" s="1708"/>
      <c r="AW320" s="1708"/>
      <c r="AX320" s="1708"/>
      <c r="AY320" s="1708"/>
      <c r="AZ320" s="1708"/>
      <c r="BA320" s="1708"/>
      <c r="BB320" s="1708"/>
      <c r="BC320" s="1708"/>
      <c r="BD320" s="1708"/>
      <c r="BE320" s="1708"/>
      <c r="BF320" s="1708"/>
      <c r="BG320" s="1708"/>
      <c r="BH320" s="1708"/>
      <c r="BI320" s="1708"/>
      <c r="BJ320" s="1708"/>
      <c r="BK320" s="1708"/>
      <c r="BL320" s="1708"/>
      <c r="BM320" s="1708"/>
      <c r="BN320" s="1708"/>
      <c r="BO320" s="1708"/>
      <c r="BP320" s="1708"/>
      <c r="BQ320" s="1708"/>
      <c r="BR320" s="1708"/>
      <c r="BS320" s="1708"/>
      <c r="BT320" s="1708"/>
      <c r="BU320" s="1708"/>
      <c r="BV320" s="1708"/>
      <c r="BW320" s="1708"/>
      <c r="BX320" s="1708"/>
      <c r="BY320" s="1708"/>
      <c r="BZ320" s="1708"/>
      <c r="CA320" s="1708"/>
      <c r="CB320" s="1708"/>
      <c r="CC320" s="1708"/>
      <c r="CD320" s="1708"/>
      <c r="CE320" s="1708"/>
      <c r="CF320" s="1708"/>
      <c r="CG320" s="1708"/>
      <c r="CH320" s="1708"/>
      <c r="CI320" s="1708"/>
      <c r="CJ320" s="1708"/>
      <c r="CK320" s="1708"/>
      <c r="CL320" s="1708"/>
      <c r="CM320" s="1708"/>
      <c r="CN320" s="1708"/>
      <c r="CO320" s="1708"/>
      <c r="CP320" s="1708"/>
      <c r="CQ320" s="1708"/>
      <c r="CR320" s="1708"/>
      <c r="CS320" s="1708"/>
      <c r="CT320" s="1708"/>
      <c r="CU320" s="1708"/>
      <c r="CV320" s="1708"/>
      <c r="CW320" s="1708"/>
      <c r="CX320" s="1708"/>
      <c r="CY320" s="1708"/>
      <c r="CZ320" s="1708"/>
      <c r="DA320" s="1708"/>
      <c r="DB320" s="1708"/>
      <c r="DC320" s="1708"/>
      <c r="DD320" s="1708"/>
      <c r="DE320" s="1708"/>
      <c r="DF320" s="1708"/>
      <c r="DG320" s="1708"/>
      <c r="DH320" s="1708"/>
      <c r="DI320" s="1708"/>
      <c r="DJ320" s="1708"/>
      <c r="DK320" s="1708"/>
      <c r="DL320" s="1708"/>
      <c r="DM320" s="1708"/>
      <c r="DN320" s="1708"/>
      <c r="DO320" s="1708"/>
      <c r="DP320" s="1708"/>
      <c r="DQ320" s="1708"/>
      <c r="DR320" s="1708"/>
      <c r="DS320" s="1708"/>
      <c r="DT320" s="1708"/>
      <c r="DU320" s="1708"/>
      <c r="DV320" s="1708"/>
      <c r="DW320" s="1708"/>
      <c r="DX320" s="1708"/>
      <c r="DY320" s="1708"/>
      <c r="DZ320" s="1708"/>
      <c r="EA320" s="1708"/>
      <c r="EB320" s="1708"/>
      <c r="EC320" s="1708"/>
      <c r="ED320" s="1708"/>
      <c r="EE320" s="1708"/>
      <c r="EF320" s="1708"/>
      <c r="EG320" s="1708"/>
      <c r="EH320" s="1708"/>
      <c r="EI320" s="1708"/>
      <c r="EJ320" s="1708"/>
      <c r="EK320" s="1708"/>
      <c r="EL320" s="1708"/>
      <c r="EM320" s="1708"/>
      <c r="EN320" s="1708"/>
      <c r="EO320" s="1708"/>
      <c r="EP320" s="1708"/>
      <c r="EQ320" s="1708"/>
      <c r="ER320" s="1708"/>
      <c r="ES320" s="1708"/>
      <c r="ET320" s="1708"/>
      <c r="EU320" s="1708"/>
      <c r="EV320" s="1708"/>
      <c r="EW320" s="1708"/>
      <c r="EX320" s="1708"/>
      <c r="EY320" s="1708"/>
      <c r="EZ320" s="1708"/>
      <c r="FA320" s="1708"/>
      <c r="FB320" s="1708"/>
      <c r="FC320" s="1708"/>
      <c r="FD320" s="1708"/>
      <c r="FE320" s="1708"/>
      <c r="FF320" s="1708"/>
      <c r="FG320" s="1708"/>
      <c r="FH320" s="1708"/>
      <c r="FI320" s="1708"/>
      <c r="FJ320" s="1708"/>
      <c r="FK320" s="1708"/>
      <c r="FL320" s="1708"/>
      <c r="FM320" s="1708"/>
      <c r="FN320" s="1708"/>
      <c r="FO320" s="1708"/>
      <c r="FP320" s="1708"/>
      <c r="FQ320" s="1708"/>
      <c r="FR320" s="1708"/>
      <c r="FS320" s="1708"/>
      <c r="FT320" s="1708"/>
      <c r="FU320" s="1708"/>
      <c r="FV320" s="1708"/>
      <c r="FW320" s="1708"/>
      <c r="FX320" s="1708"/>
      <c r="FY320" s="1708"/>
      <c r="FZ320" s="1708"/>
      <c r="GA320" s="1708"/>
      <c r="GB320" s="1708"/>
      <c r="GC320" s="1708"/>
      <c r="GD320" s="1708"/>
      <c r="GE320" s="1708"/>
      <c r="GF320" s="1708"/>
      <c r="GG320" s="1708"/>
      <c r="GH320" s="1708"/>
      <c r="GI320" s="1708"/>
      <c r="GJ320" s="1708"/>
      <c r="GK320" s="1708"/>
      <c r="GL320" s="1708"/>
      <c r="GM320" s="1708"/>
      <c r="GN320" s="1708"/>
      <c r="GO320" s="1708"/>
      <c r="GP320" s="1708"/>
      <c r="GQ320" s="1708"/>
      <c r="GR320" s="1708"/>
      <c r="GS320" s="1708"/>
      <c r="GT320" s="1708"/>
      <c r="GU320" s="1708"/>
      <c r="GV320" s="1708"/>
      <c r="GW320" s="1708"/>
      <c r="GX320" s="1708"/>
      <c r="GY320" s="1708"/>
      <c r="GZ320" s="1708"/>
      <c r="HA320" s="1708"/>
      <c r="HB320" s="1708"/>
      <c r="HC320" s="1708"/>
      <c r="HD320" s="1708"/>
      <c r="HE320" s="1708"/>
      <c r="HF320" s="1708"/>
      <c r="HG320" s="1708"/>
      <c r="HH320" s="1708"/>
      <c r="HI320" s="1708"/>
      <c r="HJ320" s="1708"/>
      <c r="HK320" s="1708"/>
      <c r="HL320" s="1708"/>
      <c r="HM320" s="1708"/>
      <c r="HN320" s="1708"/>
      <c r="HO320" s="1708"/>
      <c r="HP320" s="1708"/>
      <c r="HQ320" s="1708"/>
      <c r="HR320" s="1708"/>
      <c r="HS320" s="1708"/>
      <c r="HT320" s="1708"/>
      <c r="HU320" s="1708"/>
      <c r="HV320" s="1708"/>
      <c r="HW320" s="1708"/>
      <c r="HX320" s="1708"/>
      <c r="HY320" s="1708"/>
      <c r="HZ320" s="1708"/>
      <c r="IA320" s="1708"/>
      <c r="IB320" s="1708"/>
      <c r="IC320" s="1708"/>
      <c r="ID320" s="1708"/>
      <c r="IE320" s="1708"/>
      <c r="IF320" s="1708"/>
      <c r="IG320" s="1708"/>
      <c r="IH320" s="1708"/>
      <c r="II320" s="1708"/>
      <c r="IJ320" s="1708"/>
      <c r="IK320" s="1708"/>
      <c r="IL320" s="1708"/>
      <c r="IM320" s="1708"/>
      <c r="IN320" s="1708"/>
      <c r="IO320" s="1708"/>
      <c r="IP320" s="1708"/>
      <c r="IQ320" s="1708"/>
      <c r="IR320" s="1708"/>
      <c r="IS320" s="1708"/>
      <c r="IT320" s="1708"/>
      <c r="IU320" s="1708"/>
      <c r="IV320" s="1708"/>
    </row>
    <row r="321" spans="2:256" s="57" customFormat="1" x14ac:dyDescent="0.25">
      <c r="B321" s="1836"/>
      <c r="G321" s="1849"/>
      <c r="J321" s="1850"/>
      <c r="K321" s="1850"/>
      <c r="S321" s="1708"/>
      <c r="T321" s="1708"/>
      <c r="U321" s="1708"/>
      <c r="V321" s="1708"/>
      <c r="W321" s="1708"/>
      <c r="X321" s="1708"/>
      <c r="Y321" s="1708"/>
      <c r="Z321" s="1708"/>
      <c r="AA321" s="1708"/>
      <c r="AB321" s="1708"/>
      <c r="AC321" s="1708"/>
      <c r="AD321" s="1708"/>
      <c r="AE321" s="1708"/>
      <c r="AF321" s="1708"/>
      <c r="AG321" s="1708"/>
      <c r="AH321" s="1708"/>
      <c r="AI321" s="1708"/>
      <c r="AJ321" s="1708"/>
      <c r="AK321" s="1708"/>
      <c r="AL321" s="1708"/>
      <c r="AM321" s="1708"/>
      <c r="AN321" s="1708"/>
      <c r="AO321" s="1708"/>
      <c r="AP321" s="1708"/>
      <c r="AQ321" s="1708"/>
      <c r="AR321" s="1708"/>
      <c r="AS321" s="1708"/>
      <c r="AT321" s="1708"/>
      <c r="AU321" s="1708"/>
      <c r="AV321" s="1708"/>
      <c r="AW321" s="1708"/>
      <c r="AX321" s="1708"/>
      <c r="AY321" s="1708"/>
      <c r="AZ321" s="1708"/>
      <c r="BA321" s="1708"/>
      <c r="BB321" s="1708"/>
      <c r="BC321" s="1708"/>
      <c r="BD321" s="1708"/>
      <c r="BE321" s="1708"/>
      <c r="BF321" s="1708"/>
      <c r="BG321" s="1708"/>
      <c r="BH321" s="1708"/>
      <c r="BI321" s="1708"/>
      <c r="BJ321" s="1708"/>
      <c r="BK321" s="1708"/>
      <c r="BL321" s="1708"/>
      <c r="BM321" s="1708"/>
      <c r="BN321" s="1708"/>
      <c r="BO321" s="1708"/>
      <c r="BP321" s="1708"/>
      <c r="BQ321" s="1708"/>
      <c r="BR321" s="1708"/>
      <c r="BS321" s="1708"/>
      <c r="BT321" s="1708"/>
      <c r="BU321" s="1708"/>
      <c r="BV321" s="1708"/>
      <c r="BW321" s="1708"/>
      <c r="BX321" s="1708"/>
      <c r="BY321" s="1708"/>
      <c r="BZ321" s="1708"/>
      <c r="CA321" s="1708"/>
      <c r="CB321" s="1708"/>
      <c r="CC321" s="1708"/>
      <c r="CD321" s="1708"/>
      <c r="CE321" s="1708"/>
      <c r="CF321" s="1708"/>
      <c r="CG321" s="1708"/>
      <c r="CH321" s="1708"/>
      <c r="CI321" s="1708"/>
      <c r="CJ321" s="1708"/>
      <c r="CK321" s="1708"/>
      <c r="CL321" s="1708"/>
      <c r="CM321" s="1708"/>
      <c r="CN321" s="1708"/>
      <c r="CO321" s="1708"/>
      <c r="CP321" s="1708"/>
      <c r="CQ321" s="1708"/>
      <c r="CR321" s="1708"/>
      <c r="CS321" s="1708"/>
      <c r="CT321" s="1708"/>
      <c r="CU321" s="1708"/>
      <c r="CV321" s="1708"/>
      <c r="CW321" s="1708"/>
      <c r="CX321" s="1708"/>
      <c r="CY321" s="1708"/>
      <c r="CZ321" s="1708"/>
      <c r="DA321" s="1708"/>
      <c r="DB321" s="1708"/>
      <c r="DC321" s="1708"/>
      <c r="DD321" s="1708"/>
      <c r="DE321" s="1708"/>
      <c r="DF321" s="1708"/>
      <c r="DG321" s="1708"/>
      <c r="DH321" s="1708"/>
      <c r="DI321" s="1708"/>
      <c r="DJ321" s="1708"/>
      <c r="DK321" s="1708"/>
      <c r="DL321" s="1708"/>
      <c r="DM321" s="1708"/>
      <c r="DN321" s="1708"/>
      <c r="DO321" s="1708"/>
      <c r="DP321" s="1708"/>
      <c r="DQ321" s="1708"/>
      <c r="DR321" s="1708"/>
      <c r="DS321" s="1708"/>
      <c r="DT321" s="1708"/>
      <c r="DU321" s="1708"/>
      <c r="DV321" s="1708"/>
      <c r="DW321" s="1708"/>
      <c r="DX321" s="1708"/>
      <c r="DY321" s="1708"/>
      <c r="DZ321" s="1708"/>
      <c r="EA321" s="1708"/>
      <c r="EB321" s="1708"/>
      <c r="EC321" s="1708"/>
      <c r="ED321" s="1708"/>
      <c r="EE321" s="1708"/>
      <c r="EF321" s="1708"/>
      <c r="EG321" s="1708"/>
      <c r="EH321" s="1708"/>
      <c r="EI321" s="1708"/>
      <c r="EJ321" s="1708"/>
      <c r="EK321" s="1708"/>
      <c r="EL321" s="1708"/>
      <c r="EM321" s="1708"/>
      <c r="EN321" s="1708"/>
      <c r="EO321" s="1708"/>
      <c r="EP321" s="1708"/>
      <c r="EQ321" s="1708"/>
      <c r="ER321" s="1708"/>
      <c r="ES321" s="1708"/>
      <c r="ET321" s="1708"/>
      <c r="EU321" s="1708"/>
      <c r="EV321" s="1708"/>
      <c r="EW321" s="1708"/>
      <c r="EX321" s="1708"/>
      <c r="EY321" s="1708"/>
      <c r="EZ321" s="1708"/>
      <c r="FA321" s="1708"/>
      <c r="FB321" s="1708"/>
      <c r="FC321" s="1708"/>
      <c r="FD321" s="1708"/>
      <c r="FE321" s="1708"/>
      <c r="FF321" s="1708"/>
      <c r="FG321" s="1708"/>
      <c r="FH321" s="1708"/>
      <c r="FI321" s="1708"/>
      <c r="FJ321" s="1708"/>
      <c r="FK321" s="1708"/>
      <c r="FL321" s="1708"/>
      <c r="FM321" s="1708"/>
      <c r="FN321" s="1708"/>
      <c r="FO321" s="1708"/>
      <c r="FP321" s="1708"/>
      <c r="FQ321" s="1708"/>
      <c r="FR321" s="1708"/>
      <c r="FS321" s="1708"/>
      <c r="FT321" s="1708"/>
      <c r="FU321" s="1708"/>
      <c r="FV321" s="1708"/>
      <c r="FW321" s="1708"/>
      <c r="FX321" s="1708"/>
      <c r="FY321" s="1708"/>
      <c r="FZ321" s="1708"/>
      <c r="GA321" s="1708"/>
      <c r="GB321" s="1708"/>
      <c r="GC321" s="1708"/>
      <c r="GD321" s="1708"/>
      <c r="GE321" s="1708"/>
      <c r="GF321" s="1708"/>
      <c r="GG321" s="1708"/>
      <c r="GH321" s="1708"/>
      <c r="GI321" s="1708"/>
      <c r="GJ321" s="1708"/>
      <c r="GK321" s="1708"/>
      <c r="GL321" s="1708"/>
      <c r="GM321" s="1708"/>
      <c r="GN321" s="1708"/>
      <c r="GO321" s="1708"/>
      <c r="GP321" s="1708"/>
      <c r="GQ321" s="1708"/>
      <c r="GR321" s="1708"/>
      <c r="GS321" s="1708"/>
      <c r="GT321" s="1708"/>
      <c r="GU321" s="1708"/>
      <c r="GV321" s="1708"/>
      <c r="GW321" s="1708"/>
      <c r="GX321" s="1708"/>
      <c r="GY321" s="1708"/>
      <c r="GZ321" s="1708"/>
      <c r="HA321" s="1708"/>
      <c r="HB321" s="1708"/>
      <c r="HC321" s="1708"/>
      <c r="HD321" s="1708"/>
      <c r="HE321" s="1708"/>
      <c r="HF321" s="1708"/>
      <c r="HG321" s="1708"/>
      <c r="HH321" s="1708"/>
      <c r="HI321" s="1708"/>
      <c r="HJ321" s="1708"/>
      <c r="HK321" s="1708"/>
      <c r="HL321" s="1708"/>
      <c r="HM321" s="1708"/>
      <c r="HN321" s="1708"/>
      <c r="HO321" s="1708"/>
      <c r="HP321" s="1708"/>
      <c r="HQ321" s="1708"/>
      <c r="HR321" s="1708"/>
      <c r="HS321" s="1708"/>
      <c r="HT321" s="1708"/>
      <c r="HU321" s="1708"/>
      <c r="HV321" s="1708"/>
      <c r="HW321" s="1708"/>
      <c r="HX321" s="1708"/>
      <c r="HY321" s="1708"/>
      <c r="HZ321" s="1708"/>
      <c r="IA321" s="1708"/>
      <c r="IB321" s="1708"/>
      <c r="IC321" s="1708"/>
      <c r="ID321" s="1708"/>
      <c r="IE321" s="1708"/>
      <c r="IF321" s="1708"/>
      <c r="IG321" s="1708"/>
      <c r="IH321" s="1708"/>
      <c r="II321" s="1708"/>
      <c r="IJ321" s="1708"/>
      <c r="IK321" s="1708"/>
      <c r="IL321" s="1708"/>
      <c r="IM321" s="1708"/>
      <c r="IN321" s="1708"/>
      <c r="IO321" s="1708"/>
      <c r="IP321" s="1708"/>
      <c r="IQ321" s="1708"/>
      <c r="IR321" s="1708"/>
      <c r="IS321" s="1708"/>
      <c r="IT321" s="1708"/>
      <c r="IU321" s="1708"/>
      <c r="IV321" s="1708"/>
    </row>
    <row r="322" spans="2:256" s="57" customFormat="1" x14ac:dyDescent="0.25">
      <c r="B322" s="1836"/>
      <c r="G322" s="1849"/>
      <c r="J322" s="1850"/>
      <c r="K322" s="1850"/>
      <c r="S322" s="1708"/>
      <c r="T322" s="1708"/>
      <c r="U322" s="1708"/>
      <c r="V322" s="1708"/>
      <c r="W322" s="1708"/>
      <c r="X322" s="1708"/>
      <c r="Y322" s="1708"/>
      <c r="Z322" s="1708"/>
      <c r="AA322" s="1708"/>
      <c r="AB322" s="1708"/>
      <c r="AC322" s="1708"/>
      <c r="AD322" s="1708"/>
      <c r="AE322" s="1708"/>
      <c r="AF322" s="1708"/>
      <c r="AG322" s="1708"/>
      <c r="AH322" s="1708"/>
      <c r="AI322" s="1708"/>
      <c r="AJ322" s="1708"/>
      <c r="AK322" s="1708"/>
      <c r="AL322" s="1708"/>
      <c r="AM322" s="1708"/>
      <c r="AN322" s="1708"/>
      <c r="AO322" s="1708"/>
      <c r="AP322" s="1708"/>
      <c r="AQ322" s="1708"/>
      <c r="AR322" s="1708"/>
      <c r="AS322" s="1708"/>
      <c r="AT322" s="1708"/>
      <c r="AU322" s="1708"/>
      <c r="AV322" s="1708"/>
      <c r="AW322" s="1708"/>
      <c r="AX322" s="1708"/>
      <c r="AY322" s="1708"/>
      <c r="AZ322" s="1708"/>
      <c r="BA322" s="1708"/>
      <c r="BB322" s="1708"/>
      <c r="BC322" s="1708"/>
      <c r="BD322" s="1708"/>
      <c r="BE322" s="1708"/>
      <c r="BF322" s="1708"/>
      <c r="BG322" s="1708"/>
      <c r="BH322" s="1708"/>
      <c r="BI322" s="1708"/>
      <c r="BJ322" s="1708"/>
      <c r="BK322" s="1708"/>
      <c r="BL322" s="1708"/>
      <c r="BM322" s="1708"/>
      <c r="BN322" s="1708"/>
      <c r="BO322" s="1708"/>
      <c r="BP322" s="1708"/>
      <c r="BQ322" s="1708"/>
      <c r="BR322" s="1708"/>
      <c r="BS322" s="1708"/>
      <c r="BT322" s="1708"/>
      <c r="BU322" s="1708"/>
      <c r="BV322" s="1708"/>
      <c r="BW322" s="1708"/>
      <c r="BX322" s="1708"/>
      <c r="BY322" s="1708"/>
      <c r="BZ322" s="1708"/>
      <c r="CA322" s="1708"/>
      <c r="CB322" s="1708"/>
      <c r="CC322" s="1708"/>
      <c r="CD322" s="1708"/>
      <c r="CE322" s="1708"/>
      <c r="CF322" s="1708"/>
      <c r="CG322" s="1708"/>
      <c r="CH322" s="1708"/>
      <c r="CI322" s="1708"/>
      <c r="CJ322" s="1708"/>
      <c r="CK322" s="1708"/>
      <c r="CL322" s="1708"/>
      <c r="CM322" s="1708"/>
      <c r="CN322" s="1708"/>
      <c r="CO322" s="1708"/>
      <c r="CP322" s="1708"/>
      <c r="CQ322" s="1708"/>
      <c r="CR322" s="1708"/>
      <c r="CS322" s="1708"/>
      <c r="CT322" s="1708"/>
      <c r="CU322" s="1708"/>
      <c r="CV322" s="1708"/>
      <c r="CW322" s="1708"/>
      <c r="CX322" s="1708"/>
      <c r="CY322" s="1708"/>
      <c r="CZ322" s="1708"/>
      <c r="DA322" s="1708"/>
      <c r="DB322" s="1708"/>
      <c r="DC322" s="1708"/>
      <c r="DD322" s="1708"/>
      <c r="DE322" s="1708"/>
      <c r="DF322" s="1708"/>
      <c r="DG322" s="1708"/>
      <c r="DH322" s="1708"/>
      <c r="DI322" s="1708"/>
      <c r="DJ322" s="1708"/>
      <c r="DK322" s="1708"/>
      <c r="DL322" s="1708"/>
      <c r="DM322" s="1708"/>
      <c r="DN322" s="1708"/>
      <c r="DO322" s="1708"/>
      <c r="DP322" s="1708"/>
      <c r="DQ322" s="1708"/>
      <c r="DR322" s="1708"/>
      <c r="DS322" s="1708"/>
      <c r="DT322" s="1708"/>
      <c r="DU322" s="1708"/>
      <c r="DV322" s="1708"/>
      <c r="DW322" s="1708"/>
      <c r="DX322" s="1708"/>
      <c r="DY322" s="1708"/>
      <c r="DZ322" s="1708"/>
      <c r="EA322" s="1708"/>
      <c r="EB322" s="1708"/>
      <c r="EC322" s="1708"/>
      <c r="ED322" s="1708"/>
      <c r="EE322" s="1708"/>
      <c r="EF322" s="1708"/>
      <c r="EG322" s="1708"/>
      <c r="EH322" s="1708"/>
      <c r="EI322" s="1708"/>
      <c r="EJ322" s="1708"/>
      <c r="EK322" s="1708"/>
      <c r="EL322" s="1708"/>
      <c r="EM322" s="1708"/>
      <c r="EN322" s="1708"/>
      <c r="EO322" s="1708"/>
      <c r="EP322" s="1708"/>
      <c r="EQ322" s="1708"/>
      <c r="ER322" s="1708"/>
      <c r="ES322" s="1708"/>
      <c r="ET322" s="1708"/>
      <c r="EU322" s="1708"/>
      <c r="EV322" s="1708"/>
      <c r="EW322" s="1708"/>
      <c r="EX322" s="1708"/>
      <c r="EY322" s="1708"/>
      <c r="EZ322" s="1708"/>
      <c r="FA322" s="1708"/>
      <c r="FB322" s="1708"/>
      <c r="FC322" s="1708"/>
      <c r="FD322" s="1708"/>
      <c r="FE322" s="1708"/>
      <c r="FF322" s="1708"/>
      <c r="FG322" s="1708"/>
      <c r="FH322" s="1708"/>
      <c r="FI322" s="1708"/>
      <c r="FJ322" s="1708"/>
      <c r="FK322" s="1708"/>
      <c r="FL322" s="1708"/>
      <c r="FM322" s="1708"/>
      <c r="FN322" s="1708"/>
      <c r="FO322" s="1708"/>
      <c r="FP322" s="1708"/>
      <c r="FQ322" s="1708"/>
      <c r="FR322" s="1708"/>
      <c r="FS322" s="1708"/>
      <c r="FT322" s="1708"/>
      <c r="FU322" s="1708"/>
      <c r="FV322" s="1708"/>
      <c r="FW322" s="1708"/>
      <c r="FX322" s="1708"/>
      <c r="FY322" s="1708"/>
      <c r="FZ322" s="1708"/>
      <c r="GA322" s="1708"/>
      <c r="GB322" s="1708"/>
      <c r="GC322" s="1708"/>
      <c r="GD322" s="1708"/>
      <c r="GE322" s="1708"/>
      <c r="GF322" s="1708"/>
      <c r="GG322" s="1708"/>
      <c r="GH322" s="1708"/>
      <c r="GI322" s="1708"/>
      <c r="GJ322" s="1708"/>
      <c r="GK322" s="1708"/>
      <c r="GL322" s="1708"/>
      <c r="GM322" s="1708"/>
      <c r="GN322" s="1708"/>
      <c r="GO322" s="1708"/>
      <c r="GP322" s="1708"/>
      <c r="GQ322" s="1708"/>
      <c r="GR322" s="1708"/>
      <c r="GS322" s="1708"/>
      <c r="GT322" s="1708"/>
      <c r="GU322" s="1708"/>
      <c r="GV322" s="1708"/>
      <c r="GW322" s="1708"/>
      <c r="GX322" s="1708"/>
      <c r="GY322" s="1708"/>
      <c r="GZ322" s="1708"/>
      <c r="HA322" s="1708"/>
      <c r="HB322" s="1708"/>
      <c r="HC322" s="1708"/>
      <c r="HD322" s="1708"/>
      <c r="HE322" s="1708"/>
      <c r="HF322" s="1708"/>
      <c r="HG322" s="1708"/>
      <c r="HH322" s="1708"/>
      <c r="HI322" s="1708"/>
      <c r="HJ322" s="1708"/>
      <c r="HK322" s="1708"/>
      <c r="HL322" s="1708"/>
      <c r="HM322" s="1708"/>
      <c r="HN322" s="1708"/>
      <c r="HO322" s="1708"/>
      <c r="HP322" s="1708"/>
      <c r="HQ322" s="1708"/>
      <c r="HR322" s="1708"/>
      <c r="HS322" s="1708"/>
      <c r="HT322" s="1708"/>
      <c r="HU322" s="1708"/>
      <c r="HV322" s="1708"/>
      <c r="HW322" s="1708"/>
      <c r="HX322" s="1708"/>
      <c r="HY322" s="1708"/>
      <c r="HZ322" s="1708"/>
      <c r="IA322" s="1708"/>
      <c r="IB322" s="1708"/>
      <c r="IC322" s="1708"/>
      <c r="ID322" s="1708"/>
      <c r="IE322" s="1708"/>
      <c r="IF322" s="1708"/>
      <c r="IG322" s="1708"/>
      <c r="IH322" s="1708"/>
      <c r="II322" s="1708"/>
      <c r="IJ322" s="1708"/>
      <c r="IK322" s="1708"/>
      <c r="IL322" s="1708"/>
      <c r="IM322" s="1708"/>
      <c r="IN322" s="1708"/>
      <c r="IO322" s="1708"/>
      <c r="IP322" s="1708"/>
      <c r="IQ322" s="1708"/>
      <c r="IR322" s="1708"/>
      <c r="IS322" s="1708"/>
      <c r="IT322" s="1708"/>
      <c r="IU322" s="1708"/>
      <c r="IV322" s="1708"/>
    </row>
    <row r="323" spans="2:256" s="57" customFormat="1" x14ac:dyDescent="0.25">
      <c r="B323" s="1836"/>
      <c r="G323" s="1849"/>
      <c r="J323" s="1850"/>
      <c r="K323" s="1850"/>
      <c r="S323" s="1708"/>
      <c r="T323" s="1708"/>
      <c r="U323" s="1708"/>
      <c r="V323" s="1708"/>
      <c r="W323" s="1708"/>
      <c r="X323" s="1708"/>
      <c r="Y323" s="1708"/>
      <c r="Z323" s="1708"/>
      <c r="AA323" s="1708"/>
      <c r="AB323" s="1708"/>
      <c r="AC323" s="1708"/>
      <c r="AD323" s="1708"/>
      <c r="AE323" s="1708"/>
      <c r="AF323" s="1708"/>
      <c r="AG323" s="1708"/>
      <c r="AH323" s="1708"/>
      <c r="AI323" s="1708"/>
      <c r="AJ323" s="1708"/>
      <c r="AK323" s="1708"/>
      <c r="AL323" s="1708"/>
      <c r="AM323" s="1708"/>
      <c r="AN323" s="1708"/>
      <c r="AO323" s="1708"/>
      <c r="AP323" s="1708"/>
      <c r="AQ323" s="1708"/>
      <c r="AR323" s="1708"/>
      <c r="AS323" s="1708"/>
      <c r="AT323" s="1708"/>
      <c r="AU323" s="1708"/>
      <c r="AV323" s="1708"/>
      <c r="AW323" s="1708"/>
      <c r="AX323" s="1708"/>
      <c r="AY323" s="1708"/>
      <c r="AZ323" s="1708"/>
      <c r="BA323" s="1708"/>
      <c r="BB323" s="1708"/>
      <c r="BC323" s="1708"/>
      <c r="BD323" s="1708"/>
      <c r="BE323" s="1708"/>
      <c r="BF323" s="1708"/>
      <c r="BG323" s="1708"/>
      <c r="BH323" s="1708"/>
      <c r="BI323" s="1708"/>
      <c r="BJ323" s="1708"/>
      <c r="BK323" s="1708"/>
      <c r="BL323" s="1708"/>
      <c r="BM323" s="1708"/>
      <c r="BN323" s="1708"/>
      <c r="BO323" s="1708"/>
      <c r="BP323" s="1708"/>
      <c r="BQ323" s="1708"/>
      <c r="BR323" s="1708"/>
      <c r="BS323" s="1708"/>
      <c r="BT323" s="1708"/>
      <c r="BU323" s="1708"/>
      <c r="BV323" s="1708"/>
      <c r="BW323" s="1708"/>
      <c r="BX323" s="1708"/>
      <c r="BY323" s="1708"/>
      <c r="BZ323" s="1708"/>
      <c r="CA323" s="1708"/>
      <c r="CB323" s="1708"/>
      <c r="CC323" s="1708"/>
      <c r="CD323" s="1708"/>
      <c r="CE323" s="1708"/>
      <c r="CF323" s="1708"/>
      <c r="CG323" s="1708"/>
      <c r="CH323" s="1708"/>
      <c r="CI323" s="1708"/>
      <c r="CJ323" s="1708"/>
      <c r="CK323" s="1708"/>
      <c r="CL323" s="1708"/>
      <c r="CM323" s="1708"/>
      <c r="CN323" s="1708"/>
      <c r="CO323" s="1708"/>
      <c r="CP323" s="1708"/>
      <c r="CQ323" s="1708"/>
      <c r="CR323" s="1708"/>
      <c r="CS323" s="1708"/>
      <c r="CT323" s="1708"/>
      <c r="CU323" s="1708"/>
      <c r="CV323" s="1708"/>
      <c r="CW323" s="1708"/>
      <c r="CX323" s="1708"/>
      <c r="CY323" s="1708"/>
      <c r="CZ323" s="1708"/>
      <c r="DA323" s="1708"/>
      <c r="DB323" s="1708"/>
      <c r="DC323" s="1708"/>
      <c r="DD323" s="1708"/>
      <c r="DE323" s="1708"/>
      <c r="DF323" s="1708"/>
      <c r="DG323" s="1708"/>
      <c r="DH323" s="1708"/>
      <c r="DI323" s="1708"/>
      <c r="DJ323" s="1708"/>
      <c r="DK323" s="1708"/>
      <c r="DL323" s="1708"/>
      <c r="DM323" s="1708"/>
      <c r="DN323" s="1708"/>
      <c r="DO323" s="1708"/>
      <c r="DP323" s="1708"/>
      <c r="DQ323" s="1708"/>
      <c r="DR323" s="1708"/>
      <c r="DS323" s="1708"/>
      <c r="DT323" s="1708"/>
      <c r="DU323" s="1708"/>
      <c r="DV323" s="1708"/>
      <c r="DW323" s="1708"/>
      <c r="DX323" s="1708"/>
      <c r="DY323" s="1708"/>
      <c r="DZ323" s="1708"/>
      <c r="EA323" s="1708"/>
      <c r="EB323" s="1708"/>
      <c r="EC323" s="1708"/>
      <c r="ED323" s="1708"/>
      <c r="EE323" s="1708"/>
      <c r="EF323" s="1708"/>
      <c r="EG323" s="1708"/>
      <c r="EH323" s="1708"/>
      <c r="EI323" s="1708"/>
      <c r="EJ323" s="1708"/>
      <c r="EK323" s="1708"/>
      <c r="EL323" s="1708"/>
      <c r="EM323" s="1708"/>
      <c r="EN323" s="1708"/>
      <c r="EO323" s="1708"/>
      <c r="EP323" s="1708"/>
      <c r="EQ323" s="1708"/>
      <c r="ER323" s="1708"/>
      <c r="ES323" s="1708"/>
      <c r="ET323" s="1708"/>
      <c r="EU323" s="1708"/>
      <c r="EV323" s="1708"/>
      <c r="EW323" s="1708"/>
      <c r="EX323" s="1708"/>
      <c r="EY323" s="1708"/>
      <c r="EZ323" s="1708"/>
      <c r="FA323" s="1708"/>
      <c r="FB323" s="1708"/>
      <c r="FC323" s="1708"/>
      <c r="FD323" s="1708"/>
      <c r="FE323" s="1708"/>
      <c r="FF323" s="1708"/>
      <c r="FG323" s="1708"/>
      <c r="FH323" s="1708"/>
      <c r="FI323" s="1708"/>
      <c r="FJ323" s="1708"/>
      <c r="FK323" s="1708"/>
      <c r="FL323" s="1708"/>
      <c r="FM323" s="1708"/>
      <c r="FN323" s="1708"/>
      <c r="FO323" s="1708"/>
      <c r="FP323" s="1708"/>
      <c r="FQ323" s="1708"/>
      <c r="FR323" s="1708"/>
      <c r="FS323" s="1708"/>
      <c r="FT323" s="1708"/>
      <c r="FU323" s="1708"/>
      <c r="FV323" s="1708"/>
      <c r="FW323" s="1708"/>
      <c r="FX323" s="1708"/>
      <c r="FY323" s="1708"/>
      <c r="FZ323" s="1708"/>
      <c r="GA323" s="1708"/>
      <c r="GB323" s="1708"/>
      <c r="GC323" s="1708"/>
      <c r="GD323" s="1708"/>
      <c r="GE323" s="1708"/>
      <c r="GF323" s="1708"/>
      <c r="GG323" s="1708"/>
      <c r="GH323" s="1708"/>
      <c r="GI323" s="1708"/>
      <c r="GJ323" s="1708"/>
      <c r="GK323" s="1708"/>
      <c r="GL323" s="1708"/>
      <c r="GM323" s="1708"/>
      <c r="GN323" s="1708"/>
      <c r="GO323" s="1708"/>
      <c r="GP323" s="1708"/>
      <c r="GQ323" s="1708"/>
      <c r="GR323" s="1708"/>
      <c r="GS323" s="1708"/>
      <c r="GT323" s="1708"/>
      <c r="GU323" s="1708"/>
      <c r="GV323" s="1708"/>
      <c r="GW323" s="1708"/>
      <c r="GX323" s="1708"/>
      <c r="GY323" s="1708"/>
      <c r="GZ323" s="1708"/>
      <c r="HA323" s="1708"/>
      <c r="HB323" s="1708"/>
      <c r="HC323" s="1708"/>
      <c r="HD323" s="1708"/>
      <c r="HE323" s="1708"/>
      <c r="HF323" s="1708"/>
      <c r="HG323" s="1708"/>
      <c r="HH323" s="1708"/>
      <c r="HI323" s="1708"/>
      <c r="HJ323" s="1708"/>
      <c r="HK323" s="1708"/>
      <c r="HL323" s="1708"/>
      <c r="HM323" s="1708"/>
      <c r="HN323" s="1708"/>
      <c r="HO323" s="1708"/>
      <c r="HP323" s="1708"/>
      <c r="HQ323" s="1708"/>
      <c r="HR323" s="1708"/>
      <c r="HS323" s="1708"/>
      <c r="HT323" s="1708"/>
      <c r="HU323" s="1708"/>
      <c r="HV323" s="1708"/>
      <c r="HW323" s="1708"/>
      <c r="HX323" s="1708"/>
      <c r="HY323" s="1708"/>
      <c r="HZ323" s="1708"/>
      <c r="IA323" s="1708"/>
      <c r="IB323" s="1708"/>
      <c r="IC323" s="1708"/>
      <c r="ID323" s="1708"/>
      <c r="IE323" s="1708"/>
      <c r="IF323" s="1708"/>
      <c r="IG323" s="1708"/>
      <c r="IH323" s="1708"/>
      <c r="II323" s="1708"/>
      <c r="IJ323" s="1708"/>
      <c r="IK323" s="1708"/>
      <c r="IL323" s="1708"/>
      <c r="IM323" s="1708"/>
      <c r="IN323" s="1708"/>
      <c r="IO323" s="1708"/>
      <c r="IP323" s="1708"/>
      <c r="IQ323" s="1708"/>
      <c r="IR323" s="1708"/>
      <c r="IS323" s="1708"/>
      <c r="IT323" s="1708"/>
      <c r="IU323" s="1708"/>
      <c r="IV323" s="1708"/>
    </row>
    <row r="324" spans="2:256" s="57" customFormat="1" x14ac:dyDescent="0.25">
      <c r="B324" s="1836"/>
      <c r="G324" s="1849"/>
      <c r="J324" s="1850"/>
      <c r="K324" s="1850"/>
      <c r="S324" s="1708"/>
      <c r="T324" s="1708"/>
      <c r="U324" s="1708"/>
      <c r="V324" s="1708"/>
      <c r="W324" s="1708"/>
      <c r="X324" s="1708"/>
      <c r="Y324" s="1708"/>
      <c r="Z324" s="1708"/>
      <c r="AA324" s="1708"/>
      <c r="AB324" s="1708"/>
      <c r="AC324" s="1708"/>
      <c r="AD324" s="1708"/>
      <c r="AE324" s="1708"/>
      <c r="AF324" s="1708"/>
      <c r="AG324" s="1708"/>
      <c r="AH324" s="1708"/>
      <c r="AI324" s="1708"/>
      <c r="AJ324" s="1708"/>
      <c r="AK324" s="1708"/>
      <c r="AL324" s="1708"/>
      <c r="AM324" s="1708"/>
      <c r="AN324" s="1708"/>
      <c r="AO324" s="1708"/>
      <c r="AP324" s="1708"/>
      <c r="AQ324" s="1708"/>
      <c r="AR324" s="1708"/>
      <c r="AS324" s="1708"/>
      <c r="AT324" s="1708"/>
      <c r="AU324" s="1708"/>
      <c r="AV324" s="1708"/>
      <c r="AW324" s="1708"/>
      <c r="AX324" s="1708"/>
      <c r="AY324" s="1708"/>
      <c r="AZ324" s="1708"/>
      <c r="BA324" s="1708"/>
      <c r="BB324" s="1708"/>
      <c r="BC324" s="1708"/>
      <c r="BD324" s="1708"/>
      <c r="BE324" s="1708"/>
      <c r="BF324" s="1708"/>
      <c r="BG324" s="1708"/>
      <c r="BH324" s="1708"/>
      <c r="BI324" s="1708"/>
      <c r="BJ324" s="1708"/>
      <c r="BK324" s="1708"/>
      <c r="BL324" s="1708"/>
      <c r="BM324" s="1708"/>
      <c r="BN324" s="1708"/>
      <c r="BO324" s="1708"/>
      <c r="BP324" s="1708"/>
      <c r="BQ324" s="1708"/>
      <c r="BR324" s="1708"/>
      <c r="BS324" s="1708"/>
      <c r="BT324" s="1708"/>
      <c r="BU324" s="1708"/>
      <c r="BV324" s="1708"/>
      <c r="BW324" s="1708"/>
      <c r="BX324" s="1708"/>
      <c r="BY324" s="1708"/>
      <c r="BZ324" s="1708"/>
      <c r="CA324" s="1708"/>
      <c r="CB324" s="1708"/>
      <c r="CC324" s="1708"/>
      <c r="CD324" s="1708"/>
      <c r="CE324" s="1708"/>
      <c r="CF324" s="1708"/>
      <c r="CG324" s="1708"/>
      <c r="CH324" s="1708"/>
      <c r="CI324" s="1708"/>
      <c r="CJ324" s="1708"/>
      <c r="CK324" s="1708"/>
      <c r="CL324" s="1708"/>
      <c r="CM324" s="1708"/>
      <c r="CN324" s="1708"/>
      <c r="CO324" s="1708"/>
      <c r="CP324" s="1708"/>
      <c r="CQ324" s="1708"/>
      <c r="CR324" s="1708"/>
      <c r="CS324" s="1708"/>
      <c r="CT324" s="1708"/>
      <c r="CU324" s="1708"/>
      <c r="CV324" s="1708"/>
      <c r="CW324" s="1708"/>
      <c r="CX324" s="1708"/>
      <c r="CY324" s="1708"/>
      <c r="CZ324" s="1708"/>
      <c r="DA324" s="1708"/>
      <c r="DB324" s="1708"/>
      <c r="DC324" s="1708"/>
      <c r="DD324" s="1708"/>
      <c r="DE324" s="1708"/>
      <c r="DF324" s="1708"/>
      <c r="DG324" s="1708"/>
      <c r="DH324" s="1708"/>
      <c r="DI324" s="1708"/>
      <c r="DJ324" s="1708"/>
      <c r="DK324" s="1708"/>
      <c r="DL324" s="1708"/>
      <c r="DM324" s="1708"/>
      <c r="DN324" s="1708"/>
      <c r="DO324" s="1708"/>
      <c r="DP324" s="1708"/>
      <c r="DQ324" s="1708"/>
      <c r="DR324" s="1708"/>
      <c r="DS324" s="1708"/>
      <c r="DT324" s="1708"/>
      <c r="DU324" s="1708"/>
      <c r="DV324" s="1708"/>
      <c r="DW324" s="1708"/>
      <c r="DX324" s="1708"/>
      <c r="DY324" s="1708"/>
      <c r="DZ324" s="1708"/>
      <c r="EA324" s="1708"/>
      <c r="EB324" s="1708"/>
      <c r="EC324" s="1708"/>
      <c r="ED324" s="1708"/>
      <c r="EE324" s="1708"/>
      <c r="EF324" s="1708"/>
      <c r="EG324" s="1708"/>
      <c r="EH324" s="1708"/>
      <c r="EI324" s="1708"/>
      <c r="EJ324" s="1708"/>
      <c r="EK324" s="1708"/>
      <c r="EL324" s="1708"/>
      <c r="EM324" s="1708"/>
      <c r="EN324" s="1708"/>
      <c r="EO324" s="1708"/>
      <c r="EP324" s="1708"/>
      <c r="EQ324" s="1708"/>
      <c r="ER324" s="1708"/>
      <c r="ES324" s="1708"/>
      <c r="ET324" s="1708"/>
      <c r="EU324" s="1708"/>
      <c r="EV324" s="1708"/>
      <c r="EW324" s="1708"/>
      <c r="EX324" s="1708"/>
      <c r="EY324" s="1708"/>
      <c r="EZ324" s="1708"/>
      <c r="FA324" s="1708"/>
      <c r="FB324" s="1708"/>
      <c r="FC324" s="1708"/>
      <c r="FD324" s="1708"/>
      <c r="FE324" s="1708"/>
      <c r="FF324" s="1708"/>
      <c r="FG324" s="1708"/>
      <c r="FH324" s="1708"/>
      <c r="FI324" s="1708"/>
      <c r="FJ324" s="1708"/>
      <c r="FK324" s="1708"/>
      <c r="FL324" s="1708"/>
      <c r="FM324" s="1708"/>
      <c r="FN324" s="1708"/>
      <c r="FO324" s="1708"/>
      <c r="FP324" s="1708"/>
      <c r="FQ324" s="1708"/>
      <c r="FR324" s="1708"/>
      <c r="FS324" s="1708"/>
      <c r="FT324" s="1708"/>
      <c r="FU324" s="1708"/>
      <c r="FV324" s="1708"/>
      <c r="FW324" s="1708"/>
      <c r="FX324" s="1708"/>
      <c r="FY324" s="1708"/>
      <c r="FZ324" s="1708"/>
      <c r="GA324" s="1708"/>
      <c r="GB324" s="1708"/>
      <c r="GC324" s="1708"/>
      <c r="GD324" s="1708"/>
      <c r="GE324" s="1708"/>
      <c r="GF324" s="1708"/>
      <c r="GG324" s="1708"/>
      <c r="GH324" s="1708"/>
      <c r="GI324" s="1708"/>
      <c r="GJ324" s="1708"/>
      <c r="GK324" s="1708"/>
      <c r="GL324" s="1708"/>
      <c r="GM324" s="1708"/>
      <c r="GN324" s="1708"/>
      <c r="GO324" s="1708"/>
      <c r="GP324" s="1708"/>
      <c r="GQ324" s="1708"/>
      <c r="GR324" s="1708"/>
      <c r="GS324" s="1708"/>
      <c r="GT324" s="1708"/>
      <c r="GU324" s="1708"/>
      <c r="GV324" s="1708"/>
      <c r="GW324" s="1708"/>
      <c r="GX324" s="1708"/>
      <c r="GY324" s="1708"/>
      <c r="GZ324" s="1708"/>
      <c r="HA324" s="1708"/>
      <c r="HB324" s="1708"/>
      <c r="HC324" s="1708"/>
      <c r="HD324" s="1708"/>
      <c r="HE324" s="1708"/>
      <c r="HF324" s="1708"/>
      <c r="HG324" s="1708"/>
      <c r="HH324" s="1708"/>
      <c r="HI324" s="1708"/>
      <c r="HJ324" s="1708"/>
      <c r="HK324" s="1708"/>
      <c r="HL324" s="1708"/>
      <c r="HM324" s="1708"/>
      <c r="HN324" s="1708"/>
      <c r="HO324" s="1708"/>
      <c r="HP324" s="1708"/>
      <c r="HQ324" s="1708"/>
      <c r="HR324" s="1708"/>
      <c r="HS324" s="1708"/>
      <c r="HT324" s="1708"/>
      <c r="HU324" s="1708"/>
      <c r="HV324" s="1708"/>
      <c r="HW324" s="1708"/>
      <c r="HX324" s="1708"/>
      <c r="HY324" s="1708"/>
      <c r="HZ324" s="1708"/>
      <c r="IA324" s="1708"/>
      <c r="IB324" s="1708"/>
      <c r="IC324" s="1708"/>
      <c r="ID324" s="1708"/>
      <c r="IE324" s="1708"/>
      <c r="IF324" s="1708"/>
      <c r="IG324" s="1708"/>
      <c r="IH324" s="1708"/>
      <c r="II324" s="1708"/>
      <c r="IJ324" s="1708"/>
      <c r="IK324" s="1708"/>
      <c r="IL324" s="1708"/>
      <c r="IM324" s="1708"/>
      <c r="IN324" s="1708"/>
      <c r="IO324" s="1708"/>
      <c r="IP324" s="1708"/>
      <c r="IQ324" s="1708"/>
      <c r="IR324" s="1708"/>
      <c r="IS324" s="1708"/>
      <c r="IT324" s="1708"/>
      <c r="IU324" s="1708"/>
      <c r="IV324" s="1708"/>
    </row>
    <row r="325" spans="2:256" s="57" customFormat="1" x14ac:dyDescent="0.25">
      <c r="B325" s="1836"/>
      <c r="G325" s="1849"/>
      <c r="J325" s="1850"/>
      <c r="K325" s="1850"/>
      <c r="S325" s="1708"/>
      <c r="T325" s="1708"/>
      <c r="U325" s="1708"/>
      <c r="V325" s="1708"/>
      <c r="W325" s="1708"/>
      <c r="X325" s="1708"/>
      <c r="Y325" s="1708"/>
      <c r="Z325" s="1708"/>
      <c r="AA325" s="1708"/>
      <c r="AB325" s="1708"/>
      <c r="AC325" s="1708"/>
      <c r="AD325" s="1708"/>
      <c r="AE325" s="1708"/>
      <c r="AF325" s="1708"/>
      <c r="AG325" s="1708"/>
      <c r="AH325" s="1708"/>
      <c r="AI325" s="1708"/>
      <c r="AJ325" s="1708"/>
      <c r="AK325" s="1708"/>
      <c r="AL325" s="1708"/>
      <c r="AM325" s="1708"/>
      <c r="AN325" s="1708"/>
      <c r="AO325" s="1708"/>
      <c r="AP325" s="1708"/>
      <c r="AQ325" s="1708"/>
      <c r="AR325" s="1708"/>
      <c r="AS325" s="1708"/>
      <c r="AT325" s="1708"/>
      <c r="AU325" s="1708"/>
      <c r="AV325" s="1708"/>
      <c r="AW325" s="1708"/>
      <c r="AX325" s="1708"/>
      <c r="AY325" s="1708"/>
      <c r="AZ325" s="1708"/>
      <c r="BA325" s="1708"/>
      <c r="BB325" s="1708"/>
      <c r="BC325" s="1708"/>
      <c r="BD325" s="1708"/>
      <c r="BE325" s="1708"/>
      <c r="BF325" s="1708"/>
      <c r="BG325" s="1708"/>
      <c r="BH325" s="1708"/>
      <c r="BI325" s="1708"/>
      <c r="BJ325" s="1708"/>
      <c r="BK325" s="1708"/>
      <c r="BL325" s="1708"/>
      <c r="BM325" s="1708"/>
      <c r="BN325" s="1708"/>
      <c r="BO325" s="1708"/>
      <c r="BP325" s="1708"/>
      <c r="BQ325" s="1708"/>
      <c r="BR325" s="1708"/>
      <c r="BS325" s="1708"/>
      <c r="BT325" s="1708"/>
      <c r="BU325" s="1708"/>
      <c r="BV325" s="1708"/>
      <c r="BW325" s="1708"/>
      <c r="BX325" s="1708"/>
      <c r="BY325" s="1708"/>
      <c r="BZ325" s="1708"/>
      <c r="CA325" s="1708"/>
      <c r="CB325" s="1708"/>
      <c r="CC325" s="1708"/>
      <c r="CD325" s="1708"/>
      <c r="CE325" s="1708"/>
      <c r="CF325" s="1708"/>
      <c r="CG325" s="1708"/>
      <c r="CH325" s="1708"/>
      <c r="CI325" s="1708"/>
      <c r="CJ325" s="1708"/>
      <c r="CK325" s="1708"/>
      <c r="CL325" s="1708"/>
      <c r="CM325" s="1708"/>
      <c r="CN325" s="1708"/>
      <c r="CO325" s="1708"/>
      <c r="CP325" s="1708"/>
      <c r="CQ325" s="1708"/>
      <c r="CR325" s="1708"/>
      <c r="CS325" s="1708"/>
      <c r="CT325" s="1708"/>
      <c r="CU325" s="1708"/>
      <c r="CV325" s="1708"/>
      <c r="CW325" s="1708"/>
      <c r="CX325" s="1708"/>
      <c r="CY325" s="1708"/>
      <c r="CZ325" s="1708"/>
      <c r="DA325" s="1708"/>
      <c r="DB325" s="1708"/>
      <c r="DC325" s="1708"/>
      <c r="DD325" s="1708"/>
      <c r="DE325" s="1708"/>
      <c r="DF325" s="1708"/>
      <c r="DG325" s="1708"/>
      <c r="DH325" s="1708"/>
      <c r="DI325" s="1708"/>
      <c r="DJ325" s="1708"/>
      <c r="DK325" s="1708"/>
      <c r="DL325" s="1708"/>
      <c r="DM325" s="1708"/>
      <c r="DN325" s="1708"/>
      <c r="DO325" s="1708"/>
      <c r="DP325" s="1708"/>
      <c r="DQ325" s="1708"/>
      <c r="DR325" s="1708"/>
      <c r="DS325" s="1708"/>
      <c r="DT325" s="1708"/>
      <c r="DU325" s="1708"/>
      <c r="DV325" s="1708"/>
      <c r="DW325" s="1708"/>
      <c r="DX325" s="1708"/>
      <c r="DY325" s="1708"/>
      <c r="DZ325" s="1708"/>
      <c r="EA325" s="1708"/>
      <c r="EB325" s="1708"/>
      <c r="EC325" s="1708"/>
      <c r="ED325" s="1708"/>
      <c r="EE325" s="1708"/>
      <c r="EF325" s="1708"/>
      <c r="EG325" s="1708"/>
      <c r="EH325" s="1708"/>
      <c r="EI325" s="1708"/>
      <c r="EJ325" s="1708"/>
      <c r="EK325" s="1708"/>
      <c r="EL325" s="1708"/>
      <c r="EM325" s="1708"/>
      <c r="EN325" s="1708"/>
      <c r="EO325" s="1708"/>
      <c r="EP325" s="1708"/>
      <c r="EQ325" s="1708"/>
      <c r="ER325" s="1708"/>
      <c r="ES325" s="1708"/>
      <c r="ET325" s="1708"/>
      <c r="EU325" s="1708"/>
      <c r="EV325" s="1708"/>
      <c r="EW325" s="1708"/>
      <c r="EX325" s="1708"/>
      <c r="EY325" s="1708"/>
      <c r="EZ325" s="1708"/>
      <c r="FA325" s="1708"/>
      <c r="FB325" s="1708"/>
      <c r="FC325" s="1708"/>
      <c r="FD325" s="1708"/>
      <c r="FE325" s="1708"/>
      <c r="FF325" s="1708"/>
      <c r="FG325" s="1708"/>
      <c r="FH325" s="1708"/>
      <c r="FI325" s="1708"/>
      <c r="FJ325" s="1708"/>
      <c r="FK325" s="1708"/>
      <c r="FL325" s="1708"/>
      <c r="FM325" s="1708"/>
      <c r="FN325" s="1708"/>
      <c r="FO325" s="1708"/>
      <c r="FP325" s="1708"/>
      <c r="FQ325" s="1708"/>
      <c r="FR325" s="1708"/>
      <c r="FS325" s="1708"/>
      <c r="FT325" s="1708"/>
      <c r="FU325" s="1708"/>
      <c r="FV325" s="1708"/>
      <c r="FW325" s="1708"/>
      <c r="FX325" s="1708"/>
      <c r="FY325" s="1708"/>
      <c r="FZ325" s="1708"/>
      <c r="GA325" s="1708"/>
      <c r="GB325" s="1708"/>
      <c r="GC325" s="1708"/>
      <c r="GD325" s="1708"/>
      <c r="GE325" s="1708"/>
      <c r="GF325" s="1708"/>
      <c r="GG325" s="1708"/>
      <c r="GH325" s="1708"/>
      <c r="GI325" s="1708"/>
      <c r="GJ325" s="1708"/>
      <c r="GK325" s="1708"/>
      <c r="GL325" s="1708"/>
      <c r="GM325" s="1708"/>
      <c r="GN325" s="1708"/>
      <c r="GO325" s="1708"/>
      <c r="GP325" s="1708"/>
      <c r="GQ325" s="1708"/>
      <c r="GR325" s="1708"/>
      <c r="GS325" s="1708"/>
      <c r="GT325" s="1708"/>
      <c r="GU325" s="1708"/>
      <c r="GV325" s="1708"/>
      <c r="GW325" s="1708"/>
      <c r="GX325" s="1708"/>
      <c r="GY325" s="1708"/>
      <c r="GZ325" s="1708"/>
      <c r="HA325" s="1708"/>
      <c r="HB325" s="1708"/>
      <c r="HC325" s="1708"/>
      <c r="HD325" s="1708"/>
      <c r="HE325" s="1708"/>
      <c r="HF325" s="1708"/>
      <c r="HG325" s="1708"/>
      <c r="HH325" s="1708"/>
      <c r="HI325" s="1708"/>
      <c r="HJ325" s="1708"/>
      <c r="HK325" s="1708"/>
      <c r="HL325" s="1708"/>
      <c r="HM325" s="1708"/>
      <c r="HN325" s="1708"/>
      <c r="HO325" s="1708"/>
      <c r="HP325" s="1708"/>
      <c r="HQ325" s="1708"/>
      <c r="HR325" s="1708"/>
      <c r="HS325" s="1708"/>
      <c r="HT325" s="1708"/>
      <c r="HU325" s="1708"/>
      <c r="HV325" s="1708"/>
      <c r="HW325" s="1708"/>
      <c r="HX325" s="1708"/>
      <c r="HY325" s="1708"/>
      <c r="HZ325" s="1708"/>
      <c r="IA325" s="1708"/>
      <c r="IB325" s="1708"/>
      <c r="IC325" s="1708"/>
      <c r="ID325" s="1708"/>
      <c r="IE325" s="1708"/>
      <c r="IF325" s="1708"/>
      <c r="IG325" s="1708"/>
      <c r="IH325" s="1708"/>
      <c r="II325" s="1708"/>
      <c r="IJ325" s="1708"/>
      <c r="IK325" s="1708"/>
      <c r="IL325" s="1708"/>
      <c r="IM325" s="1708"/>
      <c r="IN325" s="1708"/>
      <c r="IO325" s="1708"/>
      <c r="IP325" s="1708"/>
      <c r="IQ325" s="1708"/>
      <c r="IR325" s="1708"/>
      <c r="IS325" s="1708"/>
      <c r="IT325" s="1708"/>
      <c r="IU325" s="1708"/>
      <c r="IV325" s="1708"/>
    </row>
    <row r="326" spans="2:256" s="57" customFormat="1" x14ac:dyDescent="0.25">
      <c r="B326" s="1836"/>
      <c r="G326" s="1849"/>
      <c r="J326" s="1850"/>
      <c r="K326" s="1850"/>
      <c r="S326" s="1708"/>
      <c r="T326" s="1708"/>
      <c r="U326" s="1708"/>
      <c r="V326" s="1708"/>
      <c r="W326" s="1708"/>
      <c r="X326" s="1708"/>
      <c r="Y326" s="1708"/>
      <c r="Z326" s="1708"/>
      <c r="AA326" s="1708"/>
      <c r="AB326" s="1708"/>
      <c r="AC326" s="1708"/>
      <c r="AD326" s="1708"/>
      <c r="AE326" s="1708"/>
      <c r="AF326" s="1708"/>
      <c r="AG326" s="1708"/>
      <c r="AH326" s="1708"/>
      <c r="AI326" s="1708"/>
      <c r="AJ326" s="1708"/>
      <c r="AK326" s="1708"/>
      <c r="AL326" s="1708"/>
      <c r="AM326" s="1708"/>
      <c r="AN326" s="1708"/>
      <c r="AO326" s="1708"/>
      <c r="AP326" s="1708"/>
      <c r="AQ326" s="1708"/>
      <c r="AR326" s="1708"/>
      <c r="AS326" s="1708"/>
      <c r="AT326" s="1708"/>
      <c r="AU326" s="1708"/>
      <c r="AV326" s="1708"/>
      <c r="AW326" s="1708"/>
      <c r="AX326" s="1708"/>
      <c r="AY326" s="1708"/>
      <c r="AZ326" s="1708"/>
      <c r="BA326" s="1708"/>
      <c r="BB326" s="1708"/>
      <c r="BC326" s="1708"/>
      <c r="BD326" s="1708"/>
      <c r="BE326" s="1708"/>
      <c r="BF326" s="1708"/>
      <c r="BG326" s="1708"/>
      <c r="BH326" s="1708"/>
      <c r="BI326" s="1708"/>
      <c r="BJ326" s="1708"/>
      <c r="BK326" s="1708"/>
      <c r="BL326" s="1708"/>
      <c r="BM326" s="1708"/>
      <c r="BN326" s="1708"/>
      <c r="BO326" s="1708"/>
      <c r="BP326" s="1708"/>
      <c r="BQ326" s="1708"/>
      <c r="BR326" s="1708"/>
      <c r="BS326" s="1708"/>
      <c r="BT326" s="1708"/>
      <c r="BU326" s="1708"/>
      <c r="BV326" s="1708"/>
      <c r="BW326" s="1708"/>
      <c r="BX326" s="1708"/>
      <c r="BY326" s="1708"/>
      <c r="BZ326" s="1708"/>
      <c r="CA326" s="1708"/>
      <c r="CB326" s="1708"/>
      <c r="CC326" s="1708"/>
      <c r="CD326" s="1708"/>
      <c r="CE326" s="1708"/>
      <c r="CF326" s="1708"/>
      <c r="CG326" s="1708"/>
      <c r="CH326" s="1708"/>
      <c r="CI326" s="1708"/>
      <c r="CJ326" s="1708"/>
      <c r="CK326" s="1708"/>
      <c r="CL326" s="1708"/>
      <c r="CM326" s="1708"/>
      <c r="CN326" s="1708"/>
      <c r="CO326" s="1708"/>
      <c r="CP326" s="1708"/>
      <c r="CQ326" s="1708"/>
      <c r="CR326" s="1708"/>
      <c r="CS326" s="1708"/>
      <c r="CT326" s="1708"/>
      <c r="CU326" s="1708"/>
      <c r="CV326" s="1708"/>
      <c r="CW326" s="1708"/>
      <c r="CX326" s="1708"/>
      <c r="CY326" s="1708"/>
      <c r="CZ326" s="1708"/>
      <c r="DA326" s="1708"/>
      <c r="DB326" s="1708"/>
      <c r="DC326" s="1708"/>
      <c r="DD326" s="1708"/>
      <c r="DE326" s="1708"/>
      <c r="DF326" s="1708"/>
      <c r="DG326" s="1708"/>
      <c r="DH326" s="1708"/>
      <c r="DI326" s="1708"/>
      <c r="DJ326" s="1708"/>
      <c r="DK326" s="1708"/>
      <c r="DL326" s="1708"/>
      <c r="DM326" s="1708"/>
      <c r="DN326" s="1708"/>
      <c r="DO326" s="1708"/>
      <c r="DP326" s="1708"/>
      <c r="DQ326" s="1708"/>
      <c r="DR326" s="1708"/>
      <c r="DS326" s="1708"/>
      <c r="DT326" s="1708"/>
      <c r="DU326" s="1708"/>
      <c r="DV326" s="1708"/>
      <c r="DW326" s="1708"/>
      <c r="DX326" s="1708"/>
      <c r="DY326" s="1708"/>
      <c r="DZ326" s="1708"/>
      <c r="EA326" s="1708"/>
      <c r="EB326" s="1708"/>
      <c r="EC326" s="1708"/>
      <c r="ED326" s="1708"/>
      <c r="EE326" s="1708"/>
      <c r="EF326" s="1708"/>
      <c r="EG326" s="1708"/>
      <c r="EH326" s="1708"/>
      <c r="EI326" s="1708"/>
      <c r="EJ326" s="1708"/>
      <c r="EK326" s="1708"/>
      <c r="EL326" s="1708"/>
      <c r="EM326" s="1708"/>
      <c r="EN326" s="1708"/>
      <c r="EO326" s="1708"/>
      <c r="EP326" s="1708"/>
      <c r="EQ326" s="1708"/>
      <c r="ER326" s="1708"/>
      <c r="ES326" s="1708"/>
      <c r="ET326" s="1708"/>
      <c r="EU326" s="1708"/>
      <c r="EV326" s="1708"/>
      <c r="EW326" s="1708"/>
      <c r="EX326" s="1708"/>
      <c r="EY326" s="1708"/>
      <c r="EZ326" s="1708"/>
      <c r="FA326" s="1708"/>
      <c r="FB326" s="1708"/>
      <c r="FC326" s="1708"/>
      <c r="FD326" s="1708"/>
      <c r="FE326" s="1708"/>
      <c r="FF326" s="1708"/>
      <c r="FG326" s="1708"/>
      <c r="FH326" s="1708"/>
      <c r="FI326" s="1708"/>
      <c r="FJ326" s="1708"/>
      <c r="FK326" s="1708"/>
      <c r="FL326" s="1708"/>
      <c r="FM326" s="1708"/>
      <c r="FN326" s="1708"/>
      <c r="FO326" s="1708"/>
      <c r="FP326" s="1708"/>
      <c r="FQ326" s="1708"/>
      <c r="FR326" s="1708"/>
      <c r="FS326" s="1708"/>
      <c r="FT326" s="1708"/>
      <c r="FU326" s="1708"/>
      <c r="FV326" s="1708"/>
      <c r="FW326" s="1708"/>
      <c r="FX326" s="1708"/>
      <c r="FY326" s="1708"/>
      <c r="FZ326" s="1708"/>
      <c r="GA326" s="1708"/>
      <c r="GB326" s="1708"/>
      <c r="GC326" s="1708"/>
      <c r="GD326" s="1708"/>
      <c r="GE326" s="1708"/>
      <c r="GF326" s="1708"/>
      <c r="GG326" s="1708"/>
      <c r="GH326" s="1708"/>
      <c r="GI326" s="1708"/>
      <c r="GJ326" s="1708"/>
      <c r="GK326" s="1708"/>
      <c r="GL326" s="1708"/>
      <c r="GM326" s="1708"/>
      <c r="GN326" s="1708"/>
      <c r="GO326" s="1708"/>
      <c r="GP326" s="1708"/>
      <c r="GQ326" s="1708"/>
      <c r="GR326" s="1708"/>
      <c r="GS326" s="1708"/>
      <c r="GT326" s="1708"/>
      <c r="GU326" s="1708"/>
      <c r="GV326" s="1708"/>
      <c r="GW326" s="1708"/>
      <c r="GX326" s="1708"/>
      <c r="GY326" s="1708"/>
      <c r="GZ326" s="1708"/>
      <c r="HA326" s="1708"/>
      <c r="HB326" s="1708"/>
      <c r="HC326" s="1708"/>
      <c r="HD326" s="1708"/>
      <c r="HE326" s="1708"/>
      <c r="HF326" s="1708"/>
      <c r="HG326" s="1708"/>
      <c r="HH326" s="1708"/>
      <c r="HI326" s="1708"/>
      <c r="HJ326" s="1708"/>
      <c r="HK326" s="1708"/>
      <c r="HL326" s="1708"/>
      <c r="HM326" s="1708"/>
      <c r="HN326" s="1708"/>
      <c r="HO326" s="1708"/>
      <c r="HP326" s="1708"/>
      <c r="HQ326" s="1708"/>
      <c r="HR326" s="1708"/>
      <c r="HS326" s="1708"/>
      <c r="HT326" s="1708"/>
      <c r="HU326" s="1708"/>
      <c r="HV326" s="1708"/>
      <c r="HW326" s="1708"/>
      <c r="HX326" s="1708"/>
      <c r="HY326" s="1708"/>
      <c r="HZ326" s="1708"/>
      <c r="IA326" s="1708"/>
      <c r="IB326" s="1708"/>
      <c r="IC326" s="1708"/>
      <c r="ID326" s="1708"/>
      <c r="IE326" s="1708"/>
      <c r="IF326" s="1708"/>
      <c r="IG326" s="1708"/>
      <c r="IH326" s="1708"/>
      <c r="II326" s="1708"/>
      <c r="IJ326" s="1708"/>
      <c r="IK326" s="1708"/>
      <c r="IL326" s="1708"/>
      <c r="IM326" s="1708"/>
      <c r="IN326" s="1708"/>
      <c r="IO326" s="1708"/>
      <c r="IP326" s="1708"/>
      <c r="IQ326" s="1708"/>
      <c r="IR326" s="1708"/>
      <c r="IS326" s="1708"/>
      <c r="IT326" s="1708"/>
      <c r="IU326" s="1708"/>
      <c r="IV326" s="1708"/>
    </row>
    <row r="327" spans="2:256" s="57" customFormat="1" x14ac:dyDescent="0.25">
      <c r="B327" s="1836"/>
      <c r="G327" s="1849"/>
      <c r="J327" s="1850"/>
      <c r="K327" s="1850"/>
      <c r="S327" s="1708"/>
      <c r="T327" s="1708"/>
      <c r="U327" s="1708"/>
      <c r="V327" s="1708"/>
      <c r="W327" s="1708"/>
      <c r="X327" s="1708"/>
      <c r="Y327" s="1708"/>
      <c r="Z327" s="1708"/>
      <c r="AA327" s="1708"/>
      <c r="AB327" s="1708"/>
      <c r="AC327" s="1708"/>
      <c r="AD327" s="1708"/>
      <c r="AE327" s="1708"/>
      <c r="AF327" s="1708"/>
      <c r="AG327" s="1708"/>
      <c r="AH327" s="1708"/>
      <c r="AI327" s="1708"/>
      <c r="AJ327" s="1708"/>
      <c r="AK327" s="1708"/>
      <c r="AL327" s="1708"/>
      <c r="AM327" s="1708"/>
      <c r="AN327" s="1708"/>
      <c r="AO327" s="1708"/>
      <c r="AP327" s="1708"/>
      <c r="AQ327" s="1708"/>
      <c r="AR327" s="1708"/>
      <c r="AS327" s="1708"/>
      <c r="AT327" s="1708"/>
      <c r="AU327" s="1708"/>
      <c r="AV327" s="1708"/>
      <c r="AW327" s="1708"/>
      <c r="AX327" s="1708"/>
      <c r="AY327" s="1708"/>
      <c r="AZ327" s="1708"/>
      <c r="BA327" s="1708"/>
      <c r="BB327" s="1708"/>
      <c r="BC327" s="1708"/>
      <c r="BD327" s="1708"/>
      <c r="BE327" s="1708"/>
      <c r="BF327" s="1708"/>
      <c r="BG327" s="1708"/>
      <c r="BH327" s="1708"/>
      <c r="BI327" s="1708"/>
      <c r="BJ327" s="1708"/>
      <c r="BK327" s="1708"/>
      <c r="BL327" s="1708"/>
      <c r="BM327" s="1708"/>
      <c r="BN327" s="1708"/>
      <c r="BO327" s="1708"/>
      <c r="BP327" s="1708"/>
      <c r="BQ327" s="1708"/>
      <c r="BR327" s="1708"/>
      <c r="BS327" s="1708"/>
      <c r="BT327" s="1708"/>
      <c r="BU327" s="1708"/>
      <c r="BV327" s="1708"/>
      <c r="BW327" s="1708"/>
      <c r="BX327" s="1708"/>
      <c r="BY327" s="1708"/>
      <c r="BZ327" s="1708"/>
      <c r="CA327" s="1708"/>
      <c r="CB327" s="1708"/>
      <c r="CC327" s="1708"/>
      <c r="CD327" s="1708"/>
      <c r="CE327" s="1708"/>
      <c r="CF327" s="1708"/>
      <c r="CG327" s="1708"/>
      <c r="CH327" s="1708"/>
      <c r="CI327" s="1708"/>
      <c r="CJ327" s="1708"/>
      <c r="CK327" s="1708"/>
      <c r="CL327" s="1708"/>
      <c r="CM327" s="1708"/>
      <c r="CN327" s="1708"/>
      <c r="CO327" s="1708"/>
      <c r="CP327" s="1708"/>
      <c r="CQ327" s="1708"/>
      <c r="CR327" s="1708"/>
      <c r="CS327" s="1708"/>
      <c r="CT327" s="1708"/>
      <c r="CU327" s="1708"/>
      <c r="CV327" s="1708"/>
      <c r="CW327" s="1708"/>
      <c r="CX327" s="1708"/>
      <c r="CY327" s="1708"/>
      <c r="CZ327" s="1708"/>
      <c r="DA327" s="1708"/>
      <c r="DB327" s="1708"/>
      <c r="DC327" s="1708"/>
      <c r="DD327" s="1708"/>
      <c r="DE327" s="1708"/>
      <c r="DF327" s="1708"/>
      <c r="DG327" s="1708"/>
      <c r="DH327" s="1708"/>
      <c r="DI327" s="1708"/>
      <c r="DJ327" s="1708"/>
      <c r="DK327" s="1708"/>
      <c r="DL327" s="1708"/>
      <c r="DM327" s="1708"/>
      <c r="DN327" s="1708"/>
      <c r="DO327" s="1708"/>
      <c r="DP327" s="1708"/>
      <c r="DQ327" s="1708"/>
      <c r="DR327" s="1708"/>
      <c r="DS327" s="1708"/>
      <c r="DT327" s="1708"/>
      <c r="DU327" s="1708"/>
      <c r="DV327" s="1708"/>
      <c r="DW327" s="1708"/>
      <c r="DX327" s="1708"/>
      <c r="DY327" s="1708"/>
      <c r="DZ327" s="1708"/>
      <c r="EA327" s="1708"/>
      <c r="EB327" s="1708"/>
      <c r="EC327" s="1708"/>
      <c r="ED327" s="1708"/>
      <c r="EE327" s="1708"/>
      <c r="EF327" s="1708"/>
      <c r="EG327" s="1708"/>
      <c r="EH327" s="1708"/>
      <c r="EI327" s="1708"/>
      <c r="EJ327" s="1708"/>
      <c r="EK327" s="1708"/>
      <c r="EL327" s="1708"/>
      <c r="EM327" s="1708"/>
      <c r="EN327" s="1708"/>
      <c r="EO327" s="1708"/>
      <c r="EP327" s="1708"/>
      <c r="EQ327" s="1708"/>
      <c r="ER327" s="1708"/>
      <c r="ES327" s="1708"/>
      <c r="ET327" s="1708"/>
      <c r="EU327" s="1708"/>
      <c r="EV327" s="1708"/>
      <c r="EW327" s="1708"/>
      <c r="EX327" s="1708"/>
      <c r="EY327" s="1708"/>
      <c r="EZ327" s="1708"/>
      <c r="FA327" s="1708"/>
      <c r="FB327" s="1708"/>
      <c r="FC327" s="1708"/>
      <c r="FD327" s="1708"/>
      <c r="FE327" s="1708"/>
      <c r="FF327" s="1708"/>
      <c r="FG327" s="1708"/>
      <c r="FH327" s="1708"/>
      <c r="FI327" s="1708"/>
      <c r="FJ327" s="1708"/>
      <c r="FK327" s="1708"/>
      <c r="FL327" s="1708"/>
      <c r="FM327" s="1708"/>
      <c r="FN327" s="1708"/>
      <c r="FO327" s="1708"/>
      <c r="FP327" s="1708"/>
      <c r="FQ327" s="1708"/>
      <c r="FR327" s="1708"/>
      <c r="FS327" s="1708"/>
      <c r="FT327" s="1708"/>
      <c r="FU327" s="1708"/>
      <c r="FV327" s="1708"/>
      <c r="FW327" s="1708"/>
      <c r="FX327" s="1708"/>
      <c r="FY327" s="1708"/>
      <c r="FZ327" s="1708"/>
      <c r="GA327" s="1708"/>
      <c r="GB327" s="1708"/>
      <c r="GC327" s="1708"/>
      <c r="GD327" s="1708"/>
      <c r="GE327" s="1708"/>
      <c r="GF327" s="1708"/>
      <c r="GG327" s="1708"/>
      <c r="GH327" s="1708"/>
      <c r="GI327" s="1708"/>
      <c r="GJ327" s="1708"/>
      <c r="GK327" s="1708"/>
      <c r="GL327" s="1708"/>
      <c r="GM327" s="1708"/>
      <c r="GN327" s="1708"/>
      <c r="GO327" s="1708"/>
      <c r="GP327" s="1708"/>
      <c r="GQ327" s="1708"/>
      <c r="GR327" s="1708"/>
      <c r="GS327" s="1708"/>
      <c r="GT327" s="1708"/>
      <c r="GU327" s="1708"/>
      <c r="GV327" s="1708"/>
      <c r="GW327" s="1708"/>
      <c r="GX327" s="1708"/>
      <c r="GY327" s="1708"/>
      <c r="GZ327" s="1708"/>
      <c r="HA327" s="1708"/>
      <c r="HB327" s="1708"/>
      <c r="HC327" s="1708"/>
      <c r="HD327" s="1708"/>
      <c r="HE327" s="1708"/>
      <c r="HF327" s="1708"/>
      <c r="HG327" s="1708"/>
      <c r="HH327" s="1708"/>
      <c r="HI327" s="1708"/>
      <c r="HJ327" s="1708"/>
      <c r="HK327" s="1708"/>
      <c r="HL327" s="1708"/>
      <c r="HM327" s="1708"/>
      <c r="HN327" s="1708"/>
      <c r="HO327" s="1708"/>
      <c r="HP327" s="1708"/>
      <c r="HQ327" s="1708"/>
      <c r="HR327" s="1708"/>
      <c r="HS327" s="1708"/>
      <c r="HT327" s="1708"/>
      <c r="HU327" s="1708"/>
      <c r="HV327" s="1708"/>
      <c r="HW327" s="1708"/>
      <c r="HX327" s="1708"/>
      <c r="HY327" s="1708"/>
      <c r="HZ327" s="1708"/>
      <c r="IA327" s="1708"/>
      <c r="IB327" s="1708"/>
      <c r="IC327" s="1708"/>
      <c r="ID327" s="1708"/>
      <c r="IE327" s="1708"/>
      <c r="IF327" s="1708"/>
      <c r="IG327" s="1708"/>
      <c r="IH327" s="1708"/>
      <c r="II327" s="1708"/>
      <c r="IJ327" s="1708"/>
      <c r="IK327" s="1708"/>
      <c r="IL327" s="1708"/>
      <c r="IM327" s="1708"/>
      <c r="IN327" s="1708"/>
      <c r="IO327" s="1708"/>
      <c r="IP327" s="1708"/>
      <c r="IQ327" s="1708"/>
      <c r="IR327" s="1708"/>
      <c r="IS327" s="1708"/>
      <c r="IT327" s="1708"/>
      <c r="IU327" s="1708"/>
      <c r="IV327" s="1708"/>
    </row>
    <row r="328" spans="2:256" s="57" customFormat="1" x14ac:dyDescent="0.25">
      <c r="B328" s="1836"/>
      <c r="G328" s="1849"/>
      <c r="J328" s="1850"/>
      <c r="K328" s="1850"/>
      <c r="S328" s="1708"/>
      <c r="T328" s="1708"/>
      <c r="U328" s="1708"/>
      <c r="V328" s="1708"/>
      <c r="W328" s="1708"/>
      <c r="X328" s="1708"/>
      <c r="Y328" s="1708"/>
      <c r="Z328" s="1708"/>
      <c r="AA328" s="1708"/>
      <c r="AB328" s="1708"/>
      <c r="AC328" s="1708"/>
      <c r="AD328" s="1708"/>
      <c r="AE328" s="1708"/>
      <c r="AF328" s="1708"/>
      <c r="AG328" s="1708"/>
      <c r="AH328" s="1708"/>
      <c r="AI328" s="1708"/>
      <c r="AJ328" s="1708"/>
      <c r="AK328" s="1708"/>
      <c r="AL328" s="1708"/>
      <c r="AM328" s="1708"/>
      <c r="AN328" s="1708"/>
      <c r="AO328" s="1708"/>
      <c r="AP328" s="1708"/>
      <c r="AQ328" s="1708"/>
      <c r="AR328" s="1708"/>
      <c r="AS328" s="1708"/>
      <c r="AT328" s="1708"/>
      <c r="AU328" s="1708"/>
      <c r="AV328" s="1708"/>
      <c r="AW328" s="1708"/>
      <c r="AX328" s="1708"/>
      <c r="AY328" s="1708"/>
      <c r="AZ328" s="1708"/>
      <c r="BA328" s="1708"/>
      <c r="BB328" s="1708"/>
      <c r="BC328" s="1708"/>
      <c r="BD328" s="1708"/>
      <c r="BE328" s="1708"/>
      <c r="BF328" s="1708"/>
      <c r="BG328" s="1708"/>
      <c r="BH328" s="1708"/>
      <c r="BI328" s="1708"/>
      <c r="BJ328" s="1708"/>
      <c r="BK328" s="1708"/>
      <c r="BL328" s="1708"/>
      <c r="BM328" s="1708"/>
      <c r="BN328" s="1708"/>
      <c r="BO328" s="1708"/>
      <c r="BP328" s="1708"/>
      <c r="BQ328" s="1708"/>
      <c r="BR328" s="1708"/>
      <c r="BS328" s="1708"/>
      <c r="BT328" s="1708"/>
      <c r="BU328" s="1708"/>
      <c r="BV328" s="1708"/>
      <c r="BW328" s="1708"/>
      <c r="BX328" s="1708"/>
      <c r="BY328" s="1708"/>
      <c r="BZ328" s="1708"/>
      <c r="CA328" s="1708"/>
      <c r="CB328" s="1708"/>
      <c r="CC328" s="1708"/>
      <c r="CD328" s="1708"/>
      <c r="CE328" s="1708"/>
      <c r="CF328" s="1708"/>
      <c r="CG328" s="1708"/>
      <c r="CH328" s="1708"/>
      <c r="CI328" s="1708"/>
      <c r="CJ328" s="1708"/>
      <c r="CK328" s="1708"/>
      <c r="CL328" s="1708"/>
      <c r="CM328" s="1708"/>
      <c r="CN328" s="1708"/>
      <c r="CO328" s="1708"/>
      <c r="CP328" s="1708"/>
      <c r="CQ328" s="1708"/>
      <c r="CR328" s="1708"/>
      <c r="CS328" s="1708"/>
      <c r="CT328" s="1708"/>
      <c r="CU328" s="1708"/>
      <c r="CV328" s="1708"/>
      <c r="CW328" s="1708"/>
      <c r="CX328" s="1708"/>
      <c r="CY328" s="1708"/>
      <c r="CZ328" s="1708"/>
      <c r="DA328" s="1708"/>
      <c r="DB328" s="1708"/>
      <c r="DC328" s="1708"/>
      <c r="DD328" s="1708"/>
      <c r="DE328" s="1708"/>
      <c r="DF328" s="1708"/>
      <c r="DG328" s="1708"/>
      <c r="DH328" s="1708"/>
      <c r="DI328" s="1708"/>
      <c r="DJ328" s="1708"/>
      <c r="DK328" s="1708"/>
      <c r="DL328" s="1708"/>
      <c r="DM328" s="1708"/>
      <c r="DN328" s="1708"/>
      <c r="DO328" s="1708"/>
      <c r="DP328" s="1708"/>
      <c r="DQ328" s="1708"/>
      <c r="DR328" s="1708"/>
      <c r="DS328" s="1708"/>
      <c r="DT328" s="1708"/>
      <c r="DU328" s="1708"/>
      <c r="DV328" s="1708"/>
      <c r="DW328" s="1708"/>
      <c r="DX328" s="1708"/>
      <c r="DY328" s="1708"/>
      <c r="DZ328" s="1708"/>
      <c r="EA328" s="1708"/>
      <c r="EB328" s="1708"/>
      <c r="EC328" s="1708"/>
      <c r="ED328" s="1708"/>
      <c r="EE328" s="1708"/>
      <c r="EF328" s="1708"/>
      <c r="EG328" s="1708"/>
      <c r="EH328" s="1708"/>
      <c r="EI328" s="1708"/>
      <c r="EJ328" s="1708"/>
      <c r="EK328" s="1708"/>
      <c r="EL328" s="1708"/>
      <c r="EM328" s="1708"/>
      <c r="EN328" s="1708"/>
      <c r="EO328" s="1708"/>
      <c r="EP328" s="1708"/>
      <c r="EQ328" s="1708"/>
      <c r="ER328" s="1708"/>
      <c r="ES328" s="1708"/>
      <c r="ET328" s="1708"/>
      <c r="EU328" s="1708"/>
      <c r="EV328" s="1708"/>
      <c r="EW328" s="1708"/>
      <c r="EX328" s="1708"/>
      <c r="EY328" s="1708"/>
      <c r="EZ328" s="1708"/>
      <c r="FA328" s="1708"/>
      <c r="FB328" s="1708"/>
      <c r="FC328" s="1708"/>
      <c r="FD328" s="1708"/>
      <c r="FE328" s="1708"/>
      <c r="FF328" s="1708"/>
      <c r="FG328" s="1708"/>
      <c r="FH328" s="1708"/>
      <c r="FI328" s="1708"/>
      <c r="FJ328" s="1708"/>
      <c r="FK328" s="1708"/>
      <c r="FL328" s="1708"/>
      <c r="FM328" s="1708"/>
      <c r="FN328" s="1708"/>
      <c r="FO328" s="1708"/>
      <c r="FP328" s="1708"/>
      <c r="FQ328" s="1708"/>
      <c r="FR328" s="1708"/>
      <c r="FS328" s="1708"/>
      <c r="FT328" s="1708"/>
      <c r="FU328" s="1708"/>
      <c r="FV328" s="1708"/>
      <c r="FW328" s="1708"/>
      <c r="FX328" s="1708"/>
      <c r="FY328" s="1708"/>
      <c r="FZ328" s="1708"/>
      <c r="GA328" s="1708"/>
      <c r="GB328" s="1708"/>
      <c r="GC328" s="1708"/>
      <c r="GD328" s="1708"/>
      <c r="GE328" s="1708"/>
      <c r="GF328" s="1708"/>
      <c r="GG328" s="1708"/>
      <c r="GH328" s="1708"/>
      <c r="GI328" s="1708"/>
      <c r="GJ328" s="1708"/>
      <c r="GK328" s="1708"/>
      <c r="GL328" s="1708"/>
      <c r="GM328" s="1708"/>
      <c r="GN328" s="1708"/>
      <c r="GO328" s="1708"/>
      <c r="GP328" s="1708"/>
      <c r="GQ328" s="1708"/>
      <c r="GR328" s="1708"/>
      <c r="GS328" s="1708"/>
      <c r="GT328" s="1708"/>
      <c r="GU328" s="1708"/>
      <c r="GV328" s="1708"/>
      <c r="GW328" s="1708"/>
      <c r="GX328" s="1708"/>
      <c r="GY328" s="1708"/>
      <c r="GZ328" s="1708"/>
      <c r="HA328" s="1708"/>
      <c r="HB328" s="1708"/>
      <c r="HC328" s="1708"/>
      <c r="HD328" s="1708"/>
      <c r="HE328" s="1708"/>
      <c r="HF328" s="1708"/>
      <c r="HG328" s="1708"/>
      <c r="HH328" s="1708"/>
      <c r="HI328" s="1708"/>
      <c r="HJ328" s="1708"/>
      <c r="HK328" s="1708"/>
      <c r="HL328" s="1708"/>
      <c r="HM328" s="1708"/>
      <c r="HN328" s="1708"/>
      <c r="HO328" s="1708"/>
      <c r="HP328" s="1708"/>
      <c r="HQ328" s="1708"/>
      <c r="HR328" s="1708"/>
      <c r="HS328" s="1708"/>
      <c r="HT328" s="1708"/>
      <c r="HU328" s="1708"/>
      <c r="HV328" s="1708"/>
      <c r="HW328" s="1708"/>
      <c r="HX328" s="1708"/>
      <c r="HY328" s="1708"/>
      <c r="HZ328" s="1708"/>
      <c r="IA328" s="1708"/>
      <c r="IB328" s="1708"/>
      <c r="IC328" s="1708"/>
      <c r="ID328" s="1708"/>
      <c r="IE328" s="1708"/>
      <c r="IF328" s="1708"/>
      <c r="IG328" s="1708"/>
      <c r="IH328" s="1708"/>
      <c r="II328" s="1708"/>
      <c r="IJ328" s="1708"/>
      <c r="IK328" s="1708"/>
      <c r="IL328" s="1708"/>
      <c r="IM328" s="1708"/>
      <c r="IN328" s="1708"/>
      <c r="IO328" s="1708"/>
      <c r="IP328" s="1708"/>
      <c r="IQ328" s="1708"/>
      <c r="IR328" s="1708"/>
      <c r="IS328" s="1708"/>
      <c r="IT328" s="1708"/>
      <c r="IU328" s="1708"/>
      <c r="IV328" s="1708"/>
    </row>
    <row r="329" spans="2:256" s="57" customFormat="1" x14ac:dyDescent="0.25">
      <c r="B329" s="1836"/>
      <c r="G329" s="1849"/>
      <c r="J329" s="1850"/>
      <c r="K329" s="1850"/>
      <c r="S329" s="1708"/>
      <c r="T329" s="1708"/>
      <c r="U329" s="1708"/>
      <c r="V329" s="1708"/>
      <c r="W329" s="1708"/>
      <c r="X329" s="1708"/>
      <c r="Y329" s="1708"/>
      <c r="Z329" s="1708"/>
      <c r="AA329" s="1708"/>
      <c r="AB329" s="1708"/>
      <c r="AC329" s="1708"/>
      <c r="AD329" s="1708"/>
      <c r="AE329" s="1708"/>
      <c r="AF329" s="1708"/>
      <c r="AG329" s="1708"/>
      <c r="AH329" s="1708"/>
      <c r="AI329" s="1708"/>
      <c r="AJ329" s="1708"/>
      <c r="AK329" s="1708"/>
      <c r="AL329" s="1708"/>
      <c r="AM329" s="1708"/>
      <c r="AN329" s="1708"/>
      <c r="AO329" s="1708"/>
      <c r="AP329" s="1708"/>
      <c r="AQ329" s="1708"/>
      <c r="AR329" s="1708"/>
      <c r="AS329" s="1708"/>
      <c r="AT329" s="1708"/>
      <c r="AU329" s="1708"/>
      <c r="AV329" s="1708"/>
      <c r="AW329" s="1708"/>
      <c r="AX329" s="1708"/>
      <c r="AY329" s="1708"/>
      <c r="AZ329" s="1708"/>
      <c r="BA329" s="1708"/>
      <c r="BB329" s="1708"/>
      <c r="BC329" s="1708"/>
      <c r="BD329" s="1708"/>
      <c r="BE329" s="1708"/>
      <c r="BF329" s="1708"/>
      <c r="BG329" s="1708"/>
      <c r="BH329" s="1708"/>
      <c r="BI329" s="1708"/>
      <c r="BJ329" s="1708"/>
      <c r="BK329" s="1708"/>
      <c r="BL329" s="1708"/>
      <c r="BM329" s="1708"/>
      <c r="BN329" s="1708"/>
      <c r="BO329" s="1708"/>
      <c r="BP329" s="1708"/>
      <c r="BQ329" s="1708"/>
      <c r="BR329" s="1708"/>
      <c r="BS329" s="1708"/>
      <c r="BT329" s="1708"/>
      <c r="BU329" s="1708"/>
      <c r="BV329" s="1708"/>
      <c r="BW329" s="1708"/>
      <c r="BX329" s="1708"/>
      <c r="BY329" s="1708"/>
      <c r="BZ329" s="1708"/>
      <c r="CA329" s="1708"/>
      <c r="CB329" s="1708"/>
      <c r="CC329" s="1708"/>
      <c r="CD329" s="1708"/>
      <c r="CE329" s="1708"/>
      <c r="CF329" s="1708"/>
      <c r="CG329" s="1708"/>
      <c r="CH329" s="1708"/>
      <c r="CI329" s="1708"/>
      <c r="CJ329" s="1708"/>
      <c r="CK329" s="1708"/>
      <c r="CL329" s="1708"/>
      <c r="CM329" s="1708"/>
      <c r="CN329" s="1708"/>
      <c r="CO329" s="1708"/>
      <c r="CP329" s="1708"/>
      <c r="CQ329" s="1708"/>
      <c r="CR329" s="1708"/>
      <c r="CS329" s="1708"/>
      <c r="CT329" s="1708"/>
      <c r="CU329" s="1708"/>
      <c r="CV329" s="1708"/>
      <c r="CW329" s="1708"/>
      <c r="CX329" s="1708"/>
      <c r="CY329" s="1708"/>
      <c r="CZ329" s="1708"/>
      <c r="DA329" s="1708"/>
      <c r="DB329" s="1708"/>
      <c r="DC329" s="1708"/>
      <c r="DD329" s="1708"/>
      <c r="DE329" s="1708"/>
      <c r="DF329" s="1708"/>
      <c r="DG329" s="1708"/>
      <c r="DH329" s="1708"/>
      <c r="DI329" s="1708"/>
      <c r="DJ329" s="1708"/>
      <c r="DK329" s="1708"/>
      <c r="DL329" s="1708"/>
      <c r="DM329" s="1708"/>
      <c r="DN329" s="1708"/>
      <c r="DO329" s="1708"/>
      <c r="DP329" s="1708"/>
      <c r="DQ329" s="1708"/>
      <c r="DR329" s="1708"/>
      <c r="DS329" s="1708"/>
      <c r="DT329" s="1708"/>
      <c r="DU329" s="1708"/>
      <c r="DV329" s="1708"/>
      <c r="DW329" s="1708"/>
      <c r="DX329" s="1708"/>
      <c r="DY329" s="1708"/>
      <c r="DZ329" s="1708"/>
      <c r="EA329" s="1708"/>
      <c r="EB329" s="1708"/>
      <c r="EC329" s="1708"/>
      <c r="ED329" s="1708"/>
      <c r="EE329" s="1708"/>
      <c r="EF329" s="1708"/>
      <c r="EG329" s="1708"/>
      <c r="EH329" s="1708"/>
      <c r="EI329" s="1708"/>
      <c r="EJ329" s="1708"/>
      <c r="EK329" s="1708"/>
      <c r="EL329" s="1708"/>
      <c r="EM329" s="1708"/>
      <c r="EN329" s="1708"/>
      <c r="EO329" s="1708"/>
      <c r="EP329" s="1708"/>
      <c r="EQ329" s="1708"/>
      <c r="ER329" s="1708"/>
      <c r="ES329" s="1708"/>
      <c r="ET329" s="1708"/>
      <c r="EU329" s="1708"/>
      <c r="EV329" s="1708"/>
      <c r="EW329" s="1708"/>
      <c r="EX329" s="1708"/>
      <c r="EY329" s="1708"/>
      <c r="EZ329" s="1708"/>
      <c r="FA329" s="1708"/>
      <c r="FB329" s="1708"/>
      <c r="FC329" s="1708"/>
      <c r="FD329" s="1708"/>
      <c r="FE329" s="1708"/>
      <c r="FF329" s="1708"/>
      <c r="FG329" s="1708"/>
      <c r="FH329" s="1708"/>
      <c r="FI329" s="1708"/>
      <c r="FJ329" s="1708"/>
      <c r="FK329" s="1708"/>
      <c r="FL329" s="1708"/>
      <c r="FM329" s="1708"/>
      <c r="FN329" s="1708"/>
      <c r="FO329" s="1708"/>
      <c r="FP329" s="1708"/>
      <c r="FQ329" s="1708"/>
      <c r="FR329" s="1708"/>
      <c r="FS329" s="1708"/>
      <c r="FT329" s="1708"/>
      <c r="FU329" s="1708"/>
      <c r="FV329" s="1708"/>
      <c r="FW329" s="1708"/>
      <c r="FX329" s="1708"/>
      <c r="FY329" s="1708"/>
      <c r="FZ329" s="1708"/>
      <c r="GA329" s="1708"/>
      <c r="GB329" s="1708"/>
      <c r="GC329" s="1708"/>
      <c r="GD329" s="1708"/>
      <c r="GE329" s="1708"/>
      <c r="GF329" s="1708"/>
      <c r="GG329" s="1708"/>
      <c r="GH329" s="1708"/>
      <c r="GI329" s="1708"/>
      <c r="GJ329" s="1708"/>
      <c r="GK329" s="1708"/>
      <c r="GL329" s="1708"/>
      <c r="GM329" s="1708"/>
      <c r="GN329" s="1708"/>
      <c r="GO329" s="1708"/>
      <c r="GP329" s="1708"/>
      <c r="GQ329" s="1708"/>
      <c r="GR329" s="1708"/>
      <c r="GS329" s="1708"/>
      <c r="GT329" s="1708"/>
      <c r="GU329" s="1708"/>
      <c r="GV329" s="1708"/>
      <c r="GW329" s="1708"/>
      <c r="GX329" s="1708"/>
      <c r="GY329" s="1708"/>
      <c r="GZ329" s="1708"/>
      <c r="HA329" s="1708"/>
      <c r="HB329" s="1708"/>
      <c r="HC329" s="1708"/>
      <c r="HD329" s="1708"/>
      <c r="HE329" s="1708"/>
      <c r="HF329" s="1708"/>
      <c r="HG329" s="1708"/>
      <c r="HH329" s="1708"/>
      <c r="HI329" s="1708"/>
      <c r="HJ329" s="1708"/>
      <c r="HK329" s="1708"/>
      <c r="HL329" s="1708"/>
      <c r="HM329" s="1708"/>
      <c r="HN329" s="1708"/>
      <c r="HO329" s="1708"/>
      <c r="HP329" s="1708"/>
      <c r="HQ329" s="1708"/>
      <c r="HR329" s="1708"/>
      <c r="HS329" s="1708"/>
      <c r="HT329" s="1708"/>
      <c r="HU329" s="1708"/>
      <c r="HV329" s="1708"/>
      <c r="HW329" s="1708"/>
      <c r="HX329" s="1708"/>
      <c r="HY329" s="1708"/>
      <c r="HZ329" s="1708"/>
      <c r="IA329" s="1708"/>
      <c r="IB329" s="1708"/>
      <c r="IC329" s="1708"/>
      <c r="ID329" s="1708"/>
      <c r="IE329" s="1708"/>
      <c r="IF329" s="1708"/>
      <c r="IG329" s="1708"/>
      <c r="IH329" s="1708"/>
      <c r="II329" s="1708"/>
      <c r="IJ329" s="1708"/>
      <c r="IK329" s="1708"/>
      <c r="IL329" s="1708"/>
      <c r="IM329" s="1708"/>
      <c r="IN329" s="1708"/>
      <c r="IO329" s="1708"/>
      <c r="IP329" s="1708"/>
      <c r="IQ329" s="1708"/>
      <c r="IR329" s="1708"/>
      <c r="IS329" s="1708"/>
      <c r="IT329" s="1708"/>
      <c r="IU329" s="1708"/>
      <c r="IV329" s="1708"/>
    </row>
    <row r="330" spans="2:256" s="57" customFormat="1" x14ac:dyDescent="0.25">
      <c r="B330" s="1836"/>
      <c r="G330" s="1849"/>
      <c r="J330" s="1850"/>
      <c r="K330" s="1850"/>
      <c r="S330" s="1708"/>
      <c r="T330" s="1708"/>
      <c r="U330" s="1708"/>
      <c r="V330" s="1708"/>
      <c r="W330" s="1708"/>
      <c r="X330" s="1708"/>
      <c r="Y330" s="1708"/>
      <c r="Z330" s="1708"/>
      <c r="AA330" s="1708"/>
      <c r="AB330" s="1708"/>
      <c r="AC330" s="1708"/>
      <c r="AD330" s="1708"/>
      <c r="AE330" s="1708"/>
      <c r="AF330" s="1708"/>
      <c r="AG330" s="1708"/>
      <c r="AH330" s="1708"/>
      <c r="AI330" s="1708"/>
      <c r="AJ330" s="1708"/>
      <c r="AK330" s="1708"/>
      <c r="AL330" s="1708"/>
      <c r="AM330" s="1708"/>
      <c r="AN330" s="1708"/>
      <c r="AO330" s="1708"/>
      <c r="AP330" s="1708"/>
      <c r="AQ330" s="1708"/>
      <c r="AR330" s="1708"/>
      <c r="AS330" s="1708"/>
      <c r="AT330" s="1708"/>
      <c r="AU330" s="1708"/>
      <c r="AV330" s="1708"/>
      <c r="AW330" s="1708"/>
      <c r="AX330" s="1708"/>
      <c r="AY330" s="1708"/>
      <c r="AZ330" s="1708"/>
      <c r="BA330" s="1708"/>
      <c r="BB330" s="1708"/>
      <c r="BC330" s="1708"/>
      <c r="BD330" s="1708"/>
      <c r="BE330" s="1708"/>
      <c r="BF330" s="1708"/>
      <c r="BG330" s="1708"/>
      <c r="BH330" s="1708"/>
      <c r="BI330" s="1708"/>
      <c r="BJ330" s="1708"/>
      <c r="BK330" s="1708"/>
      <c r="BL330" s="1708"/>
      <c r="BM330" s="1708"/>
      <c r="BN330" s="1708"/>
      <c r="BO330" s="1708"/>
      <c r="BP330" s="1708"/>
      <c r="BQ330" s="1708"/>
      <c r="BR330" s="1708"/>
      <c r="BS330" s="1708"/>
      <c r="BT330" s="1708"/>
      <c r="BU330" s="1708"/>
      <c r="BV330" s="1708"/>
      <c r="BW330" s="1708"/>
      <c r="BX330" s="1708"/>
      <c r="BY330" s="1708"/>
      <c r="BZ330" s="1708"/>
      <c r="CA330" s="1708"/>
      <c r="CB330" s="1708"/>
      <c r="CC330" s="1708"/>
      <c r="CD330" s="1708"/>
      <c r="CE330" s="1708"/>
      <c r="CF330" s="1708"/>
      <c r="CG330" s="1708"/>
      <c r="CH330" s="1708"/>
      <c r="CI330" s="1708"/>
      <c r="CJ330" s="1708"/>
      <c r="CK330" s="1708"/>
      <c r="CL330" s="1708"/>
      <c r="CM330" s="1708"/>
      <c r="CN330" s="1708"/>
      <c r="CO330" s="1708"/>
      <c r="CP330" s="1708"/>
      <c r="CQ330" s="1708"/>
      <c r="CR330" s="1708"/>
      <c r="CS330" s="1708"/>
      <c r="CT330" s="1708"/>
      <c r="CU330" s="1708"/>
      <c r="CV330" s="1708"/>
      <c r="CW330" s="1708"/>
      <c r="CX330" s="1708"/>
      <c r="CY330" s="1708"/>
      <c r="CZ330" s="1708"/>
      <c r="DA330" s="1708"/>
      <c r="DB330" s="1708"/>
      <c r="DC330" s="1708"/>
      <c r="DD330" s="1708"/>
      <c r="DE330" s="1708"/>
      <c r="DF330" s="1708"/>
      <c r="DG330" s="1708"/>
      <c r="DH330" s="1708"/>
      <c r="DI330" s="1708"/>
      <c r="DJ330" s="1708"/>
      <c r="DK330" s="1708"/>
      <c r="DL330" s="1708"/>
      <c r="DM330" s="1708"/>
      <c r="DN330" s="1708"/>
      <c r="DO330" s="1708"/>
      <c r="DP330" s="1708"/>
      <c r="DQ330" s="1708"/>
      <c r="DR330" s="1708"/>
      <c r="DS330" s="1708"/>
      <c r="DT330" s="1708"/>
      <c r="DU330" s="1708"/>
      <c r="DV330" s="1708"/>
      <c r="DW330" s="1708"/>
      <c r="DX330" s="1708"/>
      <c r="DY330" s="1708"/>
      <c r="DZ330" s="1708"/>
      <c r="EA330" s="1708"/>
      <c r="EB330" s="1708"/>
      <c r="EC330" s="1708"/>
      <c r="ED330" s="1708"/>
      <c r="EE330" s="1708"/>
      <c r="EF330" s="1708"/>
      <c r="EG330" s="1708"/>
      <c r="EH330" s="1708"/>
      <c r="EI330" s="1708"/>
      <c r="EJ330" s="1708"/>
      <c r="EK330" s="1708"/>
      <c r="EL330" s="1708"/>
      <c r="EM330" s="1708"/>
      <c r="EN330" s="1708"/>
      <c r="EO330" s="1708"/>
      <c r="EP330" s="1708"/>
      <c r="EQ330" s="1708"/>
      <c r="ER330" s="1708"/>
      <c r="ES330" s="1708"/>
      <c r="ET330" s="1708"/>
      <c r="EU330" s="1708"/>
      <c r="EV330" s="1708"/>
      <c r="EW330" s="1708"/>
      <c r="EX330" s="1708"/>
      <c r="EY330" s="1708"/>
      <c r="EZ330" s="1708"/>
      <c r="FA330" s="1708"/>
      <c r="FB330" s="1708"/>
      <c r="FC330" s="1708"/>
      <c r="FD330" s="1708"/>
      <c r="FE330" s="1708"/>
      <c r="FF330" s="1708"/>
      <c r="FG330" s="1708"/>
      <c r="FH330" s="1708"/>
      <c r="FI330" s="1708"/>
      <c r="FJ330" s="1708"/>
      <c r="FK330" s="1708"/>
      <c r="FL330" s="1708"/>
      <c r="FM330" s="1708"/>
      <c r="FN330" s="1708"/>
      <c r="FO330" s="1708"/>
      <c r="FP330" s="1708"/>
      <c r="FQ330" s="1708"/>
      <c r="FR330" s="1708"/>
      <c r="FS330" s="1708"/>
      <c r="FT330" s="1708"/>
      <c r="FU330" s="1708"/>
      <c r="FV330" s="1708"/>
      <c r="FW330" s="1708"/>
      <c r="FX330" s="1708"/>
      <c r="FY330" s="1708"/>
      <c r="FZ330" s="1708"/>
      <c r="GA330" s="1708"/>
      <c r="GB330" s="1708"/>
      <c r="GC330" s="1708"/>
      <c r="GD330" s="1708"/>
      <c r="GE330" s="1708"/>
      <c r="GF330" s="1708"/>
      <c r="GG330" s="1708"/>
      <c r="GH330" s="1708"/>
      <c r="GI330" s="1708"/>
      <c r="GJ330" s="1708"/>
      <c r="GK330" s="1708"/>
      <c r="GL330" s="1708"/>
      <c r="GM330" s="1708"/>
      <c r="GN330" s="1708"/>
      <c r="GO330" s="1708"/>
      <c r="GP330" s="1708"/>
      <c r="GQ330" s="1708"/>
      <c r="GR330" s="1708"/>
      <c r="GS330" s="1708"/>
      <c r="GT330" s="1708"/>
      <c r="GU330" s="1708"/>
      <c r="GV330" s="1708"/>
      <c r="GW330" s="1708"/>
      <c r="GX330" s="1708"/>
      <c r="GY330" s="1708"/>
      <c r="GZ330" s="1708"/>
      <c r="HA330" s="1708"/>
      <c r="HB330" s="1708"/>
      <c r="HC330" s="1708"/>
      <c r="HD330" s="1708"/>
      <c r="HE330" s="1708"/>
      <c r="HF330" s="1708"/>
      <c r="HG330" s="1708"/>
      <c r="HH330" s="1708"/>
      <c r="HI330" s="1708"/>
      <c r="HJ330" s="1708"/>
      <c r="HK330" s="1708"/>
      <c r="HL330" s="1708"/>
      <c r="HM330" s="1708"/>
      <c r="HN330" s="1708"/>
      <c r="HO330" s="1708"/>
      <c r="HP330" s="1708"/>
      <c r="HQ330" s="1708"/>
      <c r="HR330" s="1708"/>
      <c r="HS330" s="1708"/>
      <c r="HT330" s="1708"/>
      <c r="HU330" s="1708"/>
      <c r="HV330" s="1708"/>
      <c r="HW330" s="1708"/>
      <c r="HX330" s="1708"/>
      <c r="HY330" s="1708"/>
      <c r="HZ330" s="1708"/>
      <c r="IA330" s="1708"/>
      <c r="IB330" s="1708"/>
      <c r="IC330" s="1708"/>
      <c r="ID330" s="1708"/>
      <c r="IE330" s="1708"/>
      <c r="IF330" s="1708"/>
      <c r="IG330" s="1708"/>
      <c r="IH330" s="1708"/>
      <c r="II330" s="1708"/>
      <c r="IJ330" s="1708"/>
      <c r="IK330" s="1708"/>
      <c r="IL330" s="1708"/>
      <c r="IM330" s="1708"/>
      <c r="IN330" s="1708"/>
      <c r="IO330" s="1708"/>
      <c r="IP330" s="1708"/>
      <c r="IQ330" s="1708"/>
      <c r="IR330" s="1708"/>
      <c r="IS330" s="1708"/>
      <c r="IT330" s="1708"/>
      <c r="IU330" s="1708"/>
      <c r="IV330" s="1708"/>
    </row>
    <row r="331" spans="2:256" s="57" customFormat="1" x14ac:dyDescent="0.25">
      <c r="B331" s="1836"/>
      <c r="G331" s="1849"/>
      <c r="J331" s="1850"/>
      <c r="K331" s="1850"/>
      <c r="S331" s="1708"/>
      <c r="T331" s="1708"/>
      <c r="U331" s="1708"/>
      <c r="V331" s="1708"/>
      <c r="W331" s="1708"/>
      <c r="X331" s="1708"/>
      <c r="Y331" s="1708"/>
      <c r="Z331" s="1708"/>
      <c r="AA331" s="1708"/>
      <c r="AB331" s="1708"/>
      <c r="AC331" s="1708"/>
      <c r="AD331" s="1708"/>
      <c r="AE331" s="1708"/>
      <c r="AF331" s="1708"/>
      <c r="AG331" s="1708"/>
      <c r="AH331" s="1708"/>
      <c r="AI331" s="1708"/>
      <c r="AJ331" s="1708"/>
      <c r="AK331" s="1708"/>
      <c r="AL331" s="1708"/>
      <c r="AM331" s="1708"/>
      <c r="AN331" s="1708"/>
      <c r="AO331" s="1708"/>
      <c r="AP331" s="1708"/>
      <c r="AQ331" s="1708"/>
      <c r="AR331" s="1708"/>
      <c r="AS331" s="1708"/>
      <c r="AT331" s="1708"/>
      <c r="AU331" s="1708"/>
      <c r="AV331" s="1708"/>
      <c r="AW331" s="1708"/>
      <c r="AX331" s="1708"/>
      <c r="AY331" s="1708"/>
      <c r="AZ331" s="1708"/>
      <c r="BA331" s="1708"/>
      <c r="BB331" s="1708"/>
      <c r="BC331" s="1708"/>
      <c r="BD331" s="1708"/>
      <c r="BE331" s="1708"/>
      <c r="BF331" s="1708"/>
      <c r="BG331" s="1708"/>
      <c r="BH331" s="1708"/>
      <c r="BI331" s="1708"/>
      <c r="BJ331" s="1708"/>
      <c r="BK331" s="1708"/>
      <c r="BL331" s="1708"/>
      <c r="BM331" s="1708"/>
      <c r="BN331" s="1708"/>
      <c r="BO331" s="1708"/>
      <c r="BP331" s="1708"/>
      <c r="BQ331" s="1708"/>
      <c r="BR331" s="1708"/>
      <c r="BS331" s="1708"/>
      <c r="BT331" s="1708"/>
      <c r="BU331" s="1708"/>
      <c r="BV331" s="1708"/>
      <c r="BW331" s="1708"/>
      <c r="BX331" s="1708"/>
      <c r="BY331" s="1708"/>
      <c r="BZ331" s="1708"/>
      <c r="CA331" s="1708"/>
      <c r="CB331" s="1708"/>
      <c r="CC331" s="1708"/>
      <c r="CD331" s="1708"/>
      <c r="CE331" s="1708"/>
      <c r="CF331" s="1708"/>
      <c r="CG331" s="1708"/>
      <c r="CH331" s="1708"/>
      <c r="CI331" s="1708"/>
      <c r="CJ331" s="1708"/>
      <c r="CK331" s="1708"/>
      <c r="CL331" s="1708"/>
      <c r="CM331" s="1708"/>
      <c r="CN331" s="1708"/>
      <c r="CO331" s="1708"/>
      <c r="CP331" s="1708"/>
      <c r="CQ331" s="1708"/>
      <c r="CR331" s="1708"/>
      <c r="CS331" s="1708"/>
      <c r="CT331" s="1708"/>
      <c r="CU331" s="1708"/>
      <c r="CV331" s="1708"/>
      <c r="CW331" s="1708"/>
      <c r="CX331" s="1708"/>
      <c r="CY331" s="1708"/>
      <c r="CZ331" s="1708"/>
      <c r="DA331" s="1708"/>
      <c r="DB331" s="1708"/>
      <c r="DC331" s="1708"/>
      <c r="DD331" s="1708"/>
      <c r="DE331" s="1708"/>
      <c r="DF331" s="1708"/>
      <c r="DG331" s="1708"/>
      <c r="DH331" s="1708"/>
      <c r="DI331" s="1708"/>
      <c r="DJ331" s="1708"/>
      <c r="DK331" s="1708"/>
      <c r="DL331" s="1708"/>
      <c r="DM331" s="1708"/>
      <c r="DN331" s="1708"/>
      <c r="DO331" s="1708"/>
      <c r="DP331" s="1708"/>
      <c r="DQ331" s="1708"/>
      <c r="DR331" s="1708"/>
      <c r="DS331" s="1708"/>
      <c r="DT331" s="1708"/>
      <c r="DU331" s="1708"/>
      <c r="DV331" s="1708"/>
      <c r="DW331" s="1708"/>
      <c r="DX331" s="1708"/>
      <c r="DY331" s="1708"/>
      <c r="DZ331" s="1708"/>
      <c r="EA331" s="1708"/>
      <c r="EB331" s="1708"/>
      <c r="EC331" s="1708"/>
      <c r="ED331" s="1708"/>
      <c r="EE331" s="1708"/>
      <c r="EF331" s="1708"/>
      <c r="EG331" s="1708"/>
      <c r="EH331" s="1708"/>
      <c r="EI331" s="1708"/>
      <c r="EJ331" s="1708"/>
      <c r="EK331" s="1708"/>
      <c r="EL331" s="1708"/>
      <c r="EM331" s="1708"/>
      <c r="EN331" s="1708"/>
      <c r="EO331" s="1708"/>
      <c r="EP331" s="1708"/>
      <c r="EQ331" s="1708"/>
      <c r="ER331" s="1708"/>
      <c r="ES331" s="1708"/>
      <c r="ET331" s="1708"/>
      <c r="EU331" s="1708"/>
      <c r="EV331" s="1708"/>
      <c r="EW331" s="1708"/>
      <c r="EX331" s="1708"/>
      <c r="EY331" s="1708"/>
      <c r="EZ331" s="1708"/>
      <c r="FA331" s="1708"/>
      <c r="FB331" s="1708"/>
      <c r="FC331" s="1708"/>
      <c r="FD331" s="1708"/>
      <c r="FE331" s="1708"/>
      <c r="FF331" s="1708"/>
      <c r="FG331" s="1708"/>
      <c r="FH331" s="1708"/>
      <c r="FI331" s="1708"/>
      <c r="FJ331" s="1708"/>
      <c r="FK331" s="1708"/>
      <c r="FL331" s="1708"/>
      <c r="FM331" s="1708"/>
      <c r="FN331" s="1708"/>
      <c r="FO331" s="1708"/>
      <c r="FP331" s="1708"/>
      <c r="FQ331" s="1708"/>
      <c r="FR331" s="1708"/>
      <c r="FS331" s="1708"/>
      <c r="FT331" s="1708"/>
      <c r="FU331" s="1708"/>
      <c r="FV331" s="1708"/>
      <c r="FW331" s="1708"/>
      <c r="FX331" s="1708"/>
      <c r="FY331" s="1708"/>
      <c r="FZ331" s="1708"/>
      <c r="GA331" s="1708"/>
      <c r="GB331" s="1708"/>
      <c r="GC331" s="1708"/>
      <c r="GD331" s="1708"/>
      <c r="GE331" s="1708"/>
      <c r="GF331" s="1708"/>
      <c r="GG331" s="1708"/>
      <c r="GH331" s="1708"/>
      <c r="GI331" s="1708"/>
      <c r="GJ331" s="1708"/>
      <c r="GK331" s="1708"/>
      <c r="GL331" s="1708"/>
      <c r="GM331" s="1708"/>
      <c r="GN331" s="1708"/>
      <c r="GO331" s="1708"/>
      <c r="GP331" s="1708"/>
      <c r="GQ331" s="1708"/>
      <c r="GR331" s="1708"/>
      <c r="GS331" s="1708"/>
      <c r="GT331" s="1708"/>
      <c r="GU331" s="1708"/>
      <c r="GV331" s="1708"/>
      <c r="GW331" s="1708"/>
      <c r="GX331" s="1708"/>
      <c r="GY331" s="1708"/>
      <c r="GZ331" s="1708"/>
      <c r="HA331" s="1708"/>
      <c r="HB331" s="1708"/>
      <c r="HC331" s="1708"/>
      <c r="HD331" s="1708"/>
      <c r="HE331" s="1708"/>
      <c r="HF331" s="1708"/>
      <c r="HG331" s="1708"/>
      <c r="HH331" s="1708"/>
      <c r="HI331" s="1708"/>
      <c r="HJ331" s="1708"/>
      <c r="HK331" s="1708"/>
      <c r="HL331" s="1708"/>
      <c r="HM331" s="1708"/>
      <c r="HN331" s="1708"/>
      <c r="HO331" s="1708"/>
      <c r="HP331" s="1708"/>
      <c r="HQ331" s="1708"/>
      <c r="HR331" s="1708"/>
      <c r="HS331" s="1708"/>
      <c r="HT331" s="1708"/>
      <c r="HU331" s="1708"/>
      <c r="HV331" s="1708"/>
      <c r="HW331" s="1708"/>
      <c r="HX331" s="1708"/>
      <c r="HY331" s="1708"/>
      <c r="HZ331" s="1708"/>
      <c r="IA331" s="1708"/>
      <c r="IB331" s="1708"/>
      <c r="IC331" s="1708"/>
      <c r="ID331" s="1708"/>
      <c r="IE331" s="1708"/>
      <c r="IF331" s="1708"/>
      <c r="IG331" s="1708"/>
      <c r="IH331" s="1708"/>
      <c r="II331" s="1708"/>
      <c r="IJ331" s="1708"/>
      <c r="IK331" s="1708"/>
      <c r="IL331" s="1708"/>
      <c r="IM331" s="1708"/>
      <c r="IN331" s="1708"/>
      <c r="IO331" s="1708"/>
      <c r="IP331" s="1708"/>
      <c r="IQ331" s="1708"/>
      <c r="IR331" s="1708"/>
      <c r="IS331" s="1708"/>
      <c r="IT331" s="1708"/>
      <c r="IU331" s="1708"/>
      <c r="IV331" s="1708"/>
    </row>
    <row r="332" spans="2:256" s="57" customFormat="1" x14ac:dyDescent="0.25">
      <c r="B332" s="1836"/>
      <c r="G332" s="1849"/>
      <c r="J332" s="1850"/>
      <c r="K332" s="1850"/>
      <c r="S332" s="1708"/>
      <c r="T332" s="1708"/>
      <c r="U332" s="1708"/>
      <c r="V332" s="1708"/>
      <c r="W332" s="1708"/>
      <c r="X332" s="1708"/>
      <c r="Y332" s="1708"/>
      <c r="Z332" s="1708"/>
      <c r="AA332" s="1708"/>
      <c r="AB332" s="1708"/>
      <c r="AC332" s="1708"/>
      <c r="AD332" s="1708"/>
      <c r="AE332" s="1708"/>
      <c r="AF332" s="1708"/>
      <c r="AG332" s="1708"/>
      <c r="AH332" s="1708"/>
      <c r="AI332" s="1708"/>
      <c r="AJ332" s="1708"/>
      <c r="AK332" s="1708"/>
      <c r="AL332" s="1708"/>
      <c r="AM332" s="1708"/>
      <c r="AN332" s="1708"/>
      <c r="AO332" s="1708"/>
      <c r="AP332" s="1708"/>
      <c r="AQ332" s="1708"/>
      <c r="AR332" s="1708"/>
      <c r="AS332" s="1708"/>
      <c r="AT332" s="1708"/>
      <c r="AU332" s="1708"/>
      <c r="AV332" s="1708"/>
      <c r="AW332" s="1708"/>
      <c r="AX332" s="1708"/>
      <c r="AY332" s="1708"/>
      <c r="AZ332" s="1708"/>
      <c r="BA332" s="1708"/>
      <c r="BB332" s="1708"/>
      <c r="BC332" s="1708"/>
      <c r="BD332" s="1708"/>
      <c r="BE332" s="1708"/>
      <c r="BF332" s="1708"/>
      <c r="BG332" s="1708"/>
      <c r="BH332" s="1708"/>
      <c r="BI332" s="1708"/>
      <c r="BJ332" s="1708"/>
      <c r="BK332" s="1708"/>
      <c r="BL332" s="1708"/>
      <c r="BM332" s="1708"/>
      <c r="BN332" s="1708"/>
      <c r="BO332" s="1708"/>
      <c r="BP332" s="1708"/>
      <c r="BQ332" s="1708"/>
      <c r="BR332" s="1708"/>
      <c r="BS332" s="1708"/>
      <c r="BT332" s="1708"/>
      <c r="BU332" s="1708"/>
      <c r="BV332" s="1708"/>
      <c r="BW332" s="1708"/>
      <c r="BX332" s="1708"/>
      <c r="BY332" s="1708"/>
      <c r="BZ332" s="1708"/>
      <c r="CA332" s="1708"/>
      <c r="CB332" s="1708"/>
      <c r="CC332" s="1708"/>
      <c r="CD332" s="1708"/>
      <c r="CE332" s="1708"/>
      <c r="CF332" s="1708"/>
      <c r="CG332" s="1708"/>
      <c r="CH332" s="1708"/>
      <c r="CI332" s="1708"/>
      <c r="CJ332" s="1708"/>
      <c r="CK332" s="1708"/>
      <c r="CL332" s="1708"/>
      <c r="CM332" s="1708"/>
      <c r="CN332" s="1708"/>
      <c r="CO332" s="1708"/>
      <c r="CP332" s="1708"/>
      <c r="CQ332" s="1708"/>
      <c r="CR332" s="1708"/>
      <c r="CS332" s="1708"/>
      <c r="CT332" s="1708"/>
      <c r="CU332" s="1708"/>
      <c r="CV332" s="1708"/>
      <c r="CW332" s="1708"/>
      <c r="CX332" s="1708"/>
      <c r="CY332" s="1708"/>
      <c r="CZ332" s="1708"/>
      <c r="DA332" s="1708"/>
      <c r="DB332" s="1708"/>
      <c r="DC332" s="1708"/>
      <c r="DD332" s="1708"/>
      <c r="DE332" s="1708"/>
      <c r="DF332" s="1708"/>
      <c r="DG332" s="1708"/>
      <c r="DH332" s="1708"/>
      <c r="DI332" s="1708"/>
      <c r="DJ332" s="1708"/>
      <c r="DK332" s="1708"/>
      <c r="DL332" s="1708"/>
      <c r="DM332" s="1708"/>
      <c r="DN332" s="1708"/>
      <c r="DO332" s="1708"/>
      <c r="DP332" s="1708"/>
      <c r="DQ332" s="1708"/>
      <c r="DR332" s="1708"/>
      <c r="DS332" s="1708"/>
      <c r="DT332" s="1708"/>
      <c r="DU332" s="1708"/>
      <c r="DV332" s="1708"/>
      <c r="DW332" s="1708"/>
      <c r="DX332" s="1708"/>
      <c r="DY332" s="1708"/>
      <c r="DZ332" s="1708"/>
      <c r="EA332" s="1708"/>
      <c r="EB332" s="1708"/>
      <c r="EC332" s="1708"/>
      <c r="ED332" s="1708"/>
      <c r="EE332" s="1708"/>
      <c r="EF332" s="1708"/>
      <c r="EG332" s="1708"/>
      <c r="EH332" s="1708"/>
      <c r="EI332" s="1708"/>
      <c r="EJ332" s="1708"/>
      <c r="EK332" s="1708"/>
      <c r="EL332" s="1708"/>
      <c r="EM332" s="1708"/>
      <c r="EN332" s="1708"/>
      <c r="EO332" s="1708"/>
      <c r="EP332" s="1708"/>
      <c r="EQ332" s="1708"/>
      <c r="ER332" s="1708"/>
      <c r="ES332" s="1708"/>
      <c r="ET332" s="1708"/>
      <c r="EU332" s="1708"/>
      <c r="EV332" s="1708"/>
      <c r="EW332" s="1708"/>
      <c r="EX332" s="1708"/>
      <c r="EY332" s="1708"/>
      <c r="EZ332" s="1708"/>
      <c r="FA332" s="1708"/>
      <c r="FB332" s="1708"/>
      <c r="FC332" s="1708"/>
      <c r="FD332" s="1708"/>
      <c r="FE332" s="1708"/>
      <c r="FF332" s="1708"/>
      <c r="FG332" s="1708"/>
      <c r="FH332" s="1708"/>
      <c r="FI332" s="1708"/>
      <c r="FJ332" s="1708"/>
      <c r="FK332" s="1708"/>
      <c r="FL332" s="1708"/>
      <c r="FM332" s="1708"/>
      <c r="FN332" s="1708"/>
      <c r="FO332" s="1708"/>
      <c r="FP332" s="1708"/>
      <c r="FQ332" s="1708"/>
      <c r="FR332" s="1708"/>
      <c r="FS332" s="1708"/>
      <c r="FT332" s="1708"/>
      <c r="FU332" s="1708"/>
      <c r="FV332" s="1708"/>
      <c r="FW332" s="1708"/>
      <c r="FX332" s="1708"/>
      <c r="FY332" s="1708"/>
      <c r="FZ332" s="1708"/>
      <c r="GA332" s="1708"/>
      <c r="GB332" s="1708"/>
      <c r="GC332" s="1708"/>
      <c r="GD332" s="1708"/>
      <c r="GE332" s="1708"/>
      <c r="GF332" s="1708"/>
      <c r="GG332" s="1708"/>
      <c r="GH332" s="1708"/>
      <c r="GI332" s="1708"/>
      <c r="GJ332" s="1708"/>
      <c r="GK332" s="1708"/>
      <c r="GL332" s="1708"/>
      <c r="GM332" s="1708"/>
      <c r="GN332" s="1708"/>
      <c r="GO332" s="1708"/>
      <c r="GP332" s="1708"/>
      <c r="GQ332" s="1708"/>
      <c r="GR332" s="1708"/>
      <c r="GS332" s="1708"/>
      <c r="GT332" s="1708"/>
      <c r="GU332" s="1708"/>
      <c r="GV332" s="1708"/>
      <c r="GW332" s="1708"/>
      <c r="GX332" s="1708"/>
      <c r="GY332" s="1708"/>
      <c r="GZ332" s="1708"/>
      <c r="HA332" s="1708"/>
      <c r="HB332" s="1708"/>
      <c r="HC332" s="1708"/>
      <c r="HD332" s="1708"/>
      <c r="HE332" s="1708"/>
      <c r="HF332" s="1708"/>
      <c r="HG332" s="1708"/>
      <c r="HH332" s="1708"/>
      <c r="HI332" s="1708"/>
      <c r="HJ332" s="1708"/>
      <c r="HK332" s="1708"/>
      <c r="HL332" s="1708"/>
      <c r="HM332" s="1708"/>
      <c r="HN332" s="1708"/>
      <c r="HO332" s="1708"/>
      <c r="HP332" s="1708"/>
      <c r="HQ332" s="1708"/>
      <c r="HR332" s="1708"/>
      <c r="HS332" s="1708"/>
      <c r="HT332" s="1708"/>
      <c r="HU332" s="1708"/>
      <c r="HV332" s="1708"/>
      <c r="HW332" s="1708"/>
      <c r="HX332" s="1708"/>
      <c r="HY332" s="1708"/>
      <c r="HZ332" s="1708"/>
      <c r="IA332" s="1708"/>
      <c r="IB332" s="1708"/>
      <c r="IC332" s="1708"/>
      <c r="ID332" s="1708"/>
      <c r="IE332" s="1708"/>
      <c r="IF332" s="1708"/>
      <c r="IG332" s="1708"/>
      <c r="IH332" s="1708"/>
      <c r="II332" s="1708"/>
      <c r="IJ332" s="1708"/>
      <c r="IK332" s="1708"/>
      <c r="IL332" s="1708"/>
      <c r="IM332" s="1708"/>
      <c r="IN332" s="1708"/>
      <c r="IO332" s="1708"/>
      <c r="IP332" s="1708"/>
      <c r="IQ332" s="1708"/>
      <c r="IR332" s="1708"/>
      <c r="IS332" s="1708"/>
      <c r="IT332" s="1708"/>
      <c r="IU332" s="1708"/>
      <c r="IV332" s="1708"/>
    </row>
    <row r="333" spans="2:256" s="57" customFormat="1" x14ac:dyDescent="0.25">
      <c r="B333" s="1836"/>
      <c r="G333" s="1849"/>
      <c r="J333" s="1850"/>
      <c r="K333" s="1850"/>
      <c r="S333" s="1708"/>
      <c r="T333" s="1708"/>
      <c r="U333" s="1708"/>
      <c r="V333" s="1708"/>
      <c r="W333" s="1708"/>
      <c r="X333" s="1708"/>
      <c r="Y333" s="1708"/>
      <c r="Z333" s="1708"/>
      <c r="AA333" s="1708"/>
      <c r="AB333" s="1708"/>
      <c r="AC333" s="1708"/>
      <c r="AD333" s="1708"/>
      <c r="AE333" s="1708"/>
      <c r="AF333" s="1708"/>
      <c r="AG333" s="1708"/>
      <c r="AH333" s="1708"/>
      <c r="AI333" s="1708"/>
      <c r="AJ333" s="1708"/>
      <c r="AK333" s="1708"/>
      <c r="AL333" s="1708"/>
      <c r="AM333" s="1708"/>
      <c r="AN333" s="1708"/>
      <c r="AO333" s="1708"/>
      <c r="AP333" s="1708"/>
      <c r="AQ333" s="1708"/>
      <c r="AR333" s="1708"/>
      <c r="AS333" s="1708"/>
      <c r="AT333" s="1708"/>
      <c r="AU333" s="1708"/>
      <c r="AV333" s="1708"/>
      <c r="AW333" s="1708"/>
      <c r="AX333" s="1708"/>
      <c r="AY333" s="1708"/>
      <c r="AZ333" s="1708"/>
      <c r="BA333" s="1708"/>
      <c r="BB333" s="1708"/>
      <c r="BC333" s="1708"/>
      <c r="BD333" s="1708"/>
      <c r="BE333" s="1708"/>
      <c r="BF333" s="1708"/>
      <c r="BG333" s="1708"/>
      <c r="BH333" s="1708"/>
      <c r="BI333" s="1708"/>
      <c r="BJ333" s="1708"/>
      <c r="BK333" s="1708"/>
      <c r="BL333" s="1708"/>
      <c r="BM333" s="1708"/>
      <c r="BN333" s="1708"/>
      <c r="BO333" s="1708"/>
      <c r="BP333" s="1708"/>
      <c r="BQ333" s="1708"/>
      <c r="BR333" s="1708"/>
      <c r="BS333" s="1708"/>
      <c r="BT333" s="1708"/>
      <c r="BU333" s="1708"/>
      <c r="BV333" s="1708"/>
      <c r="BW333" s="1708"/>
      <c r="BX333" s="1708"/>
      <c r="BY333" s="1708"/>
      <c r="BZ333" s="1708"/>
      <c r="CA333" s="1708"/>
      <c r="CB333" s="1708"/>
      <c r="CC333" s="1708"/>
      <c r="CD333" s="1708"/>
      <c r="CE333" s="1708"/>
      <c r="CF333" s="1708"/>
      <c r="CG333" s="1708"/>
      <c r="CH333" s="1708"/>
      <c r="CI333" s="1708"/>
      <c r="CJ333" s="1708"/>
      <c r="CK333" s="1708"/>
      <c r="CL333" s="1708"/>
      <c r="CM333" s="1708"/>
      <c r="CN333" s="1708"/>
      <c r="CO333" s="1708"/>
      <c r="CP333" s="1708"/>
      <c r="CQ333" s="1708"/>
      <c r="CR333" s="1708"/>
      <c r="CS333" s="1708"/>
      <c r="CT333" s="1708"/>
      <c r="CU333" s="1708"/>
      <c r="CV333" s="1708"/>
      <c r="CW333" s="1708"/>
      <c r="CX333" s="1708"/>
      <c r="CY333" s="1708"/>
      <c r="CZ333" s="1708"/>
      <c r="DA333" s="1708"/>
      <c r="DB333" s="1708"/>
      <c r="DC333" s="1708"/>
      <c r="DD333" s="1708"/>
      <c r="DE333" s="1708"/>
      <c r="DF333" s="1708"/>
      <c r="DG333" s="1708"/>
      <c r="DH333" s="1708"/>
      <c r="DI333" s="1708"/>
      <c r="DJ333" s="1708"/>
      <c r="DK333" s="1708"/>
      <c r="DL333" s="1708"/>
      <c r="DM333" s="1708"/>
      <c r="DN333" s="1708"/>
      <c r="DO333" s="1708"/>
      <c r="DP333" s="1708"/>
      <c r="DQ333" s="1708"/>
      <c r="DR333" s="1708"/>
      <c r="DS333" s="1708"/>
      <c r="DT333" s="1708"/>
      <c r="DU333" s="1708"/>
      <c r="DV333" s="1708"/>
      <c r="DW333" s="1708"/>
      <c r="DX333" s="1708"/>
      <c r="DY333" s="1708"/>
      <c r="DZ333" s="1708"/>
      <c r="EA333" s="1708"/>
      <c r="EB333" s="1708"/>
      <c r="EC333" s="1708"/>
      <c r="ED333" s="1708"/>
      <c r="EE333" s="1708"/>
      <c r="EF333" s="1708"/>
      <c r="EG333" s="1708"/>
      <c r="EH333" s="1708"/>
      <c r="EI333" s="1708"/>
      <c r="EJ333" s="1708"/>
      <c r="EK333" s="1708"/>
      <c r="EL333" s="1708"/>
      <c r="EM333" s="1708"/>
      <c r="EN333" s="1708"/>
      <c r="EO333" s="1708"/>
      <c r="EP333" s="1708"/>
      <c r="EQ333" s="1708"/>
      <c r="ER333" s="1708"/>
      <c r="ES333" s="1708"/>
      <c r="ET333" s="1708"/>
      <c r="EU333" s="1708"/>
      <c r="EV333" s="1708"/>
      <c r="EW333" s="1708"/>
      <c r="EX333" s="1708"/>
      <c r="EY333" s="1708"/>
      <c r="EZ333" s="1708"/>
      <c r="FA333" s="1708"/>
      <c r="FB333" s="1708"/>
      <c r="FC333" s="1708"/>
      <c r="FD333" s="1708"/>
      <c r="FE333" s="1708"/>
      <c r="FF333" s="1708"/>
      <c r="FG333" s="1708"/>
      <c r="FH333" s="1708"/>
      <c r="FI333" s="1708"/>
      <c r="FJ333" s="1708"/>
      <c r="FK333" s="1708"/>
      <c r="FL333" s="1708"/>
      <c r="FM333" s="1708"/>
      <c r="FN333" s="1708"/>
      <c r="FO333" s="1708"/>
      <c r="FP333" s="1708"/>
      <c r="FQ333" s="1708"/>
      <c r="FR333" s="1708"/>
      <c r="FS333" s="1708"/>
      <c r="FT333" s="1708"/>
      <c r="FU333" s="1708"/>
      <c r="FV333" s="1708"/>
      <c r="FW333" s="1708"/>
      <c r="FX333" s="1708"/>
      <c r="FY333" s="1708"/>
      <c r="FZ333" s="1708"/>
      <c r="GA333" s="1708"/>
      <c r="GB333" s="1708"/>
      <c r="GC333" s="1708"/>
      <c r="GD333" s="1708"/>
      <c r="GE333" s="1708"/>
      <c r="GF333" s="1708"/>
      <c r="GG333" s="1708"/>
      <c r="GH333" s="1708"/>
      <c r="GI333" s="1708"/>
      <c r="GJ333" s="1708"/>
      <c r="GK333" s="1708"/>
      <c r="GL333" s="1708"/>
      <c r="GM333" s="1708"/>
      <c r="GN333" s="1708"/>
      <c r="GO333" s="1708"/>
      <c r="GP333" s="1708"/>
      <c r="GQ333" s="1708"/>
      <c r="GR333" s="1708"/>
      <c r="GS333" s="1708"/>
      <c r="GT333" s="1708"/>
      <c r="GU333" s="1708"/>
      <c r="GV333" s="1708"/>
      <c r="GW333" s="1708"/>
      <c r="GX333" s="1708"/>
      <c r="GY333" s="1708"/>
      <c r="GZ333" s="1708"/>
      <c r="HA333" s="1708"/>
      <c r="HB333" s="1708"/>
      <c r="HC333" s="1708"/>
      <c r="HD333" s="1708"/>
      <c r="HE333" s="1708"/>
      <c r="HF333" s="1708"/>
      <c r="HG333" s="1708"/>
      <c r="HH333" s="1708"/>
      <c r="HI333" s="1708"/>
      <c r="HJ333" s="1708"/>
      <c r="HK333" s="1708"/>
      <c r="HL333" s="1708"/>
      <c r="HM333" s="1708"/>
      <c r="HN333" s="1708"/>
      <c r="HO333" s="1708"/>
      <c r="HP333" s="1708"/>
      <c r="HQ333" s="1708"/>
      <c r="HR333" s="1708"/>
      <c r="HS333" s="1708"/>
      <c r="HT333" s="1708"/>
      <c r="HU333" s="1708"/>
      <c r="HV333" s="1708"/>
      <c r="HW333" s="1708"/>
      <c r="HX333" s="1708"/>
      <c r="HY333" s="1708"/>
      <c r="HZ333" s="1708"/>
      <c r="IA333" s="1708"/>
      <c r="IB333" s="1708"/>
      <c r="IC333" s="1708"/>
      <c r="ID333" s="1708"/>
      <c r="IE333" s="1708"/>
      <c r="IF333" s="1708"/>
      <c r="IG333" s="1708"/>
      <c r="IH333" s="1708"/>
      <c r="II333" s="1708"/>
      <c r="IJ333" s="1708"/>
      <c r="IK333" s="1708"/>
      <c r="IL333" s="1708"/>
      <c r="IM333" s="1708"/>
      <c r="IN333" s="1708"/>
      <c r="IO333" s="1708"/>
      <c r="IP333" s="1708"/>
      <c r="IQ333" s="1708"/>
      <c r="IR333" s="1708"/>
      <c r="IS333" s="1708"/>
      <c r="IT333" s="1708"/>
      <c r="IU333" s="1708"/>
      <c r="IV333" s="1708"/>
    </row>
    <row r="334" spans="2:256" s="57" customFormat="1" x14ac:dyDescent="0.25">
      <c r="B334" s="1836"/>
      <c r="G334" s="1849"/>
      <c r="J334" s="1850"/>
      <c r="K334" s="1850"/>
      <c r="S334" s="1708"/>
      <c r="T334" s="1708"/>
      <c r="U334" s="1708"/>
      <c r="V334" s="1708"/>
      <c r="W334" s="1708"/>
      <c r="X334" s="1708"/>
      <c r="Y334" s="1708"/>
      <c r="Z334" s="1708"/>
      <c r="AA334" s="1708"/>
      <c r="AB334" s="1708"/>
      <c r="AC334" s="1708"/>
      <c r="AD334" s="1708"/>
      <c r="AE334" s="1708"/>
      <c r="AF334" s="1708"/>
      <c r="AG334" s="1708"/>
      <c r="AH334" s="1708"/>
      <c r="AI334" s="1708"/>
      <c r="AJ334" s="1708"/>
      <c r="AK334" s="1708"/>
      <c r="AL334" s="1708"/>
      <c r="AM334" s="1708"/>
      <c r="AN334" s="1708"/>
      <c r="AO334" s="1708"/>
      <c r="AP334" s="1708"/>
      <c r="AQ334" s="1708"/>
      <c r="AR334" s="1708"/>
      <c r="AS334" s="1708"/>
      <c r="AT334" s="1708"/>
      <c r="AU334" s="1708"/>
      <c r="AV334" s="1708"/>
      <c r="AW334" s="1708"/>
      <c r="AX334" s="1708"/>
      <c r="AY334" s="1708"/>
      <c r="AZ334" s="1708"/>
      <c r="BA334" s="1708"/>
      <c r="BB334" s="1708"/>
      <c r="BC334" s="1708"/>
      <c r="BD334" s="1708"/>
      <c r="BE334" s="1708"/>
      <c r="BF334" s="1708"/>
      <c r="BG334" s="1708"/>
      <c r="BH334" s="1708"/>
      <c r="BI334" s="1708"/>
      <c r="BJ334" s="1708"/>
      <c r="BK334" s="1708"/>
      <c r="BL334" s="1708"/>
      <c r="BM334" s="1708"/>
      <c r="BN334" s="1708"/>
      <c r="BO334" s="1708"/>
      <c r="BP334" s="1708"/>
      <c r="BQ334" s="1708"/>
      <c r="BR334" s="1708"/>
      <c r="BS334" s="1708"/>
      <c r="BT334" s="1708"/>
      <c r="BU334" s="1708"/>
      <c r="BV334" s="1708"/>
      <c r="BW334" s="1708"/>
      <c r="BX334" s="1708"/>
      <c r="BY334" s="1708"/>
      <c r="BZ334" s="1708"/>
      <c r="CA334" s="1708"/>
      <c r="CB334" s="1708"/>
      <c r="CC334" s="1708"/>
      <c r="CD334" s="1708"/>
      <c r="CE334" s="1708"/>
      <c r="CF334" s="1708"/>
      <c r="CG334" s="1708"/>
      <c r="CH334" s="1708"/>
      <c r="CI334" s="1708"/>
      <c r="CJ334" s="1708"/>
      <c r="CK334" s="1708"/>
      <c r="CL334" s="1708"/>
      <c r="CM334" s="1708"/>
      <c r="CN334" s="1708"/>
      <c r="CO334" s="1708"/>
      <c r="CP334" s="1708"/>
      <c r="CQ334" s="1708"/>
      <c r="CR334" s="1708"/>
      <c r="CS334" s="1708"/>
      <c r="CT334" s="1708"/>
      <c r="CU334" s="1708"/>
      <c r="CV334" s="1708"/>
      <c r="CW334" s="1708"/>
      <c r="CX334" s="1708"/>
      <c r="CY334" s="1708"/>
      <c r="CZ334" s="1708"/>
      <c r="DA334" s="1708"/>
      <c r="DB334" s="1708"/>
      <c r="DC334" s="1708"/>
      <c r="DD334" s="1708"/>
      <c r="DE334" s="1708"/>
      <c r="DF334" s="1708"/>
      <c r="DG334" s="1708"/>
      <c r="DH334" s="1708"/>
      <c r="DI334" s="1708"/>
      <c r="DJ334" s="1708"/>
      <c r="DK334" s="1708"/>
      <c r="DL334" s="1708"/>
      <c r="DM334" s="1708"/>
      <c r="DN334" s="1708"/>
      <c r="DO334" s="1708"/>
      <c r="DP334" s="1708"/>
      <c r="DQ334" s="1708"/>
      <c r="DR334" s="1708"/>
      <c r="DS334" s="1708"/>
      <c r="DT334" s="1708"/>
      <c r="DU334" s="1708"/>
      <c r="DV334" s="1708"/>
      <c r="DW334" s="1708"/>
      <c r="DX334" s="1708"/>
      <c r="DY334" s="1708"/>
      <c r="DZ334" s="1708"/>
      <c r="EA334" s="1708"/>
      <c r="EB334" s="1708"/>
      <c r="EC334" s="1708"/>
      <c r="ED334" s="1708"/>
      <c r="EE334" s="1708"/>
      <c r="EF334" s="1708"/>
      <c r="EG334" s="1708"/>
      <c r="EH334" s="1708"/>
      <c r="EI334" s="1708"/>
      <c r="EJ334" s="1708"/>
      <c r="EK334" s="1708"/>
      <c r="EL334" s="1708"/>
      <c r="EM334" s="1708"/>
      <c r="EN334" s="1708"/>
      <c r="EO334" s="1708"/>
      <c r="EP334" s="1708"/>
      <c r="EQ334" s="1708"/>
      <c r="ER334" s="1708"/>
      <c r="ES334" s="1708"/>
      <c r="ET334" s="1708"/>
      <c r="EU334" s="1708"/>
      <c r="EV334" s="1708"/>
      <c r="EW334" s="1708"/>
      <c r="EX334" s="1708"/>
      <c r="EY334" s="1708"/>
      <c r="EZ334" s="1708"/>
      <c r="FA334" s="1708"/>
      <c r="FB334" s="1708"/>
      <c r="FC334" s="1708"/>
      <c r="FD334" s="1708"/>
      <c r="FE334" s="1708"/>
      <c r="FF334" s="1708"/>
      <c r="FG334" s="1708"/>
      <c r="FH334" s="1708"/>
      <c r="FI334" s="1708"/>
      <c r="FJ334" s="1708"/>
      <c r="FK334" s="1708"/>
      <c r="FL334" s="1708"/>
      <c r="FM334" s="1708"/>
      <c r="FN334" s="1708"/>
      <c r="FO334" s="1708"/>
      <c r="FP334" s="1708"/>
      <c r="FQ334" s="1708"/>
      <c r="FR334" s="1708"/>
      <c r="FS334" s="1708"/>
      <c r="FT334" s="1708"/>
      <c r="FU334" s="1708"/>
      <c r="FV334" s="1708"/>
      <c r="FW334" s="1708"/>
      <c r="FX334" s="1708"/>
      <c r="FY334" s="1708"/>
      <c r="FZ334" s="1708"/>
      <c r="GA334" s="1708"/>
      <c r="GB334" s="1708"/>
      <c r="GC334" s="1708"/>
      <c r="GD334" s="1708"/>
      <c r="GE334" s="1708"/>
      <c r="GF334" s="1708"/>
      <c r="GG334" s="1708"/>
      <c r="GH334" s="1708"/>
      <c r="GI334" s="1708"/>
      <c r="GJ334" s="1708"/>
      <c r="GK334" s="1708"/>
      <c r="GL334" s="1708"/>
      <c r="GM334" s="1708"/>
      <c r="GN334" s="1708"/>
      <c r="GO334" s="1708"/>
      <c r="GP334" s="1708"/>
      <c r="GQ334" s="1708"/>
      <c r="GR334" s="1708"/>
      <c r="GS334" s="1708"/>
      <c r="GT334" s="1708"/>
      <c r="GU334" s="1708"/>
      <c r="GV334" s="1708"/>
      <c r="GW334" s="1708"/>
      <c r="GX334" s="1708"/>
      <c r="GY334" s="1708"/>
      <c r="GZ334" s="1708"/>
      <c r="HA334" s="1708"/>
      <c r="HB334" s="1708"/>
      <c r="HC334" s="1708"/>
      <c r="HD334" s="1708"/>
      <c r="HE334" s="1708"/>
      <c r="HF334" s="1708"/>
      <c r="HG334" s="1708"/>
      <c r="HH334" s="1708"/>
      <c r="HI334" s="1708"/>
      <c r="HJ334" s="1708"/>
      <c r="HK334" s="1708"/>
      <c r="HL334" s="1708"/>
      <c r="HM334" s="1708"/>
      <c r="HN334" s="1708"/>
      <c r="HO334" s="1708"/>
      <c r="HP334" s="1708"/>
      <c r="HQ334" s="1708"/>
      <c r="HR334" s="1708"/>
      <c r="HS334" s="1708"/>
      <c r="HT334" s="1708"/>
      <c r="HU334" s="1708"/>
      <c r="HV334" s="1708"/>
      <c r="HW334" s="1708"/>
      <c r="HX334" s="1708"/>
      <c r="HY334" s="1708"/>
      <c r="HZ334" s="1708"/>
      <c r="IA334" s="1708"/>
      <c r="IB334" s="1708"/>
      <c r="IC334" s="1708"/>
      <c r="ID334" s="1708"/>
      <c r="IE334" s="1708"/>
      <c r="IF334" s="1708"/>
      <c r="IG334" s="1708"/>
      <c r="IH334" s="1708"/>
      <c r="II334" s="1708"/>
      <c r="IJ334" s="1708"/>
      <c r="IK334" s="1708"/>
      <c r="IL334" s="1708"/>
      <c r="IM334" s="1708"/>
      <c r="IN334" s="1708"/>
      <c r="IO334" s="1708"/>
      <c r="IP334" s="1708"/>
      <c r="IQ334" s="1708"/>
      <c r="IR334" s="1708"/>
      <c r="IS334" s="1708"/>
      <c r="IT334" s="1708"/>
      <c r="IU334" s="1708"/>
      <c r="IV334" s="1708"/>
    </row>
    <row r="335" spans="2:256" s="57" customFormat="1" x14ac:dyDescent="0.25">
      <c r="B335" s="1836"/>
      <c r="G335" s="1849"/>
      <c r="J335" s="1850"/>
      <c r="K335" s="1850"/>
      <c r="S335" s="1708"/>
      <c r="T335" s="1708"/>
      <c r="U335" s="1708"/>
      <c r="V335" s="1708"/>
      <c r="W335" s="1708"/>
      <c r="X335" s="1708"/>
      <c r="Y335" s="1708"/>
      <c r="Z335" s="1708"/>
      <c r="AA335" s="1708"/>
      <c r="AB335" s="1708"/>
      <c r="AC335" s="1708"/>
      <c r="AD335" s="1708"/>
      <c r="AE335" s="1708"/>
      <c r="AF335" s="1708"/>
      <c r="AG335" s="1708"/>
      <c r="AH335" s="1708"/>
      <c r="AI335" s="1708"/>
      <c r="AJ335" s="1708"/>
      <c r="AK335" s="1708"/>
      <c r="AL335" s="1708"/>
      <c r="AM335" s="1708"/>
      <c r="AN335" s="1708"/>
      <c r="AO335" s="1708"/>
      <c r="AP335" s="1708"/>
      <c r="AQ335" s="1708"/>
      <c r="AR335" s="1708"/>
      <c r="AS335" s="1708"/>
      <c r="AT335" s="1708"/>
      <c r="AU335" s="1708"/>
      <c r="AV335" s="1708"/>
      <c r="AW335" s="1708"/>
      <c r="AX335" s="1708"/>
      <c r="AY335" s="1708"/>
      <c r="AZ335" s="1708"/>
      <c r="BA335" s="1708"/>
      <c r="BB335" s="1708"/>
      <c r="BC335" s="1708"/>
      <c r="BD335" s="1708"/>
      <c r="BE335" s="1708"/>
      <c r="BF335" s="1708"/>
      <c r="BG335" s="1708"/>
      <c r="BH335" s="1708"/>
      <c r="BI335" s="1708"/>
      <c r="BJ335" s="1708"/>
      <c r="BK335" s="1708"/>
      <c r="BL335" s="1708"/>
      <c r="BM335" s="1708"/>
      <c r="BN335" s="1708"/>
      <c r="BO335" s="1708"/>
      <c r="BP335" s="1708"/>
      <c r="BQ335" s="1708"/>
      <c r="BR335" s="1708"/>
      <c r="BS335" s="1708"/>
      <c r="BT335" s="1708"/>
      <c r="BU335" s="1708"/>
      <c r="BV335" s="1708"/>
      <c r="BW335" s="1708"/>
      <c r="BX335" s="1708"/>
      <c r="BY335" s="1708"/>
      <c r="BZ335" s="1708"/>
      <c r="CA335" s="1708"/>
      <c r="CB335" s="1708"/>
      <c r="CC335" s="1708"/>
      <c r="CD335" s="1708"/>
      <c r="CE335" s="1708"/>
      <c r="CF335" s="1708"/>
      <c r="CG335" s="1708"/>
      <c r="CH335" s="1708"/>
      <c r="CI335" s="1708"/>
      <c r="CJ335" s="1708"/>
      <c r="CK335" s="1708"/>
      <c r="CL335" s="1708"/>
      <c r="CM335" s="1708"/>
      <c r="CN335" s="1708"/>
      <c r="CO335" s="1708"/>
      <c r="CP335" s="1708"/>
      <c r="CQ335" s="1708"/>
      <c r="CR335" s="1708"/>
      <c r="CS335" s="1708"/>
      <c r="CT335" s="1708"/>
      <c r="CU335" s="1708"/>
      <c r="CV335" s="1708"/>
      <c r="CW335" s="1708"/>
      <c r="CX335" s="1708"/>
      <c r="CY335" s="1708"/>
      <c r="CZ335" s="1708"/>
      <c r="DA335" s="1708"/>
      <c r="DB335" s="1708"/>
      <c r="DC335" s="1708"/>
      <c r="DD335" s="1708"/>
      <c r="DE335" s="1708"/>
      <c r="DF335" s="1708"/>
      <c r="DG335" s="1708"/>
      <c r="DH335" s="1708"/>
      <c r="DI335" s="1708"/>
      <c r="DJ335" s="1708"/>
      <c r="DK335" s="1708"/>
      <c r="DL335" s="1708"/>
      <c r="DM335" s="1708"/>
      <c r="DN335" s="1708"/>
      <c r="DO335" s="1708"/>
      <c r="DP335" s="1708"/>
      <c r="DQ335" s="1708"/>
      <c r="DR335" s="1708"/>
      <c r="DS335" s="1708"/>
      <c r="DT335" s="1708"/>
      <c r="DU335" s="1708"/>
      <c r="DV335" s="1708"/>
      <c r="DW335" s="1708"/>
      <c r="DX335" s="1708"/>
      <c r="DY335" s="1708"/>
      <c r="DZ335" s="1708"/>
      <c r="EA335" s="1708"/>
      <c r="EB335" s="1708"/>
      <c r="EC335" s="1708"/>
      <c r="ED335" s="1708"/>
      <c r="EE335" s="1708"/>
      <c r="EF335" s="1708"/>
      <c r="EG335" s="1708"/>
      <c r="EH335" s="1708"/>
      <c r="EI335" s="1708"/>
      <c r="EJ335" s="1708"/>
      <c r="EK335" s="1708"/>
      <c r="EL335" s="1708"/>
      <c r="EM335" s="1708"/>
      <c r="EN335" s="1708"/>
      <c r="EO335" s="1708"/>
      <c r="EP335" s="1708"/>
      <c r="EQ335" s="1708"/>
      <c r="ER335" s="1708"/>
      <c r="ES335" s="1708"/>
      <c r="ET335" s="1708"/>
      <c r="EU335" s="1708"/>
      <c r="EV335" s="1708"/>
      <c r="EW335" s="1708"/>
      <c r="EX335" s="1708"/>
      <c r="EY335" s="1708"/>
      <c r="EZ335" s="1708"/>
      <c r="FA335" s="1708"/>
      <c r="FB335" s="1708"/>
      <c r="FC335" s="1708"/>
      <c r="FD335" s="1708"/>
      <c r="FE335" s="1708"/>
      <c r="FF335" s="1708"/>
      <c r="FG335" s="1708"/>
      <c r="FH335" s="1708"/>
      <c r="FI335" s="1708"/>
      <c r="FJ335" s="1708"/>
      <c r="FK335" s="1708"/>
      <c r="FL335" s="1708"/>
      <c r="FM335" s="1708"/>
      <c r="FN335" s="1708"/>
      <c r="FO335" s="1708"/>
      <c r="FP335" s="1708"/>
      <c r="FQ335" s="1708"/>
      <c r="FR335" s="1708"/>
      <c r="FS335" s="1708"/>
      <c r="FT335" s="1708"/>
      <c r="FU335" s="1708"/>
      <c r="FV335" s="1708"/>
      <c r="FW335" s="1708"/>
      <c r="FX335" s="1708"/>
      <c r="FY335" s="1708"/>
      <c r="FZ335" s="1708"/>
      <c r="GA335" s="1708"/>
      <c r="GB335" s="1708"/>
      <c r="GC335" s="1708"/>
      <c r="GD335" s="1708"/>
      <c r="GE335" s="1708"/>
      <c r="GF335" s="1708"/>
      <c r="GG335" s="1708"/>
      <c r="GH335" s="1708"/>
      <c r="GI335" s="1708"/>
      <c r="GJ335" s="1708"/>
      <c r="GK335" s="1708"/>
      <c r="GL335" s="1708"/>
      <c r="GM335" s="1708"/>
      <c r="GN335" s="1708"/>
      <c r="GO335" s="1708"/>
      <c r="GP335" s="1708"/>
      <c r="GQ335" s="1708"/>
      <c r="GR335" s="1708"/>
      <c r="GS335" s="1708"/>
      <c r="GT335" s="1708"/>
      <c r="GU335" s="1708"/>
      <c r="GV335" s="1708"/>
      <c r="GW335" s="1708"/>
      <c r="GX335" s="1708"/>
      <c r="GY335" s="1708"/>
      <c r="GZ335" s="1708"/>
      <c r="HA335" s="1708"/>
      <c r="HB335" s="1708"/>
      <c r="HC335" s="1708"/>
      <c r="HD335" s="1708"/>
      <c r="HE335" s="1708"/>
      <c r="HF335" s="1708"/>
      <c r="HG335" s="1708"/>
      <c r="HH335" s="1708"/>
      <c r="HI335" s="1708"/>
      <c r="HJ335" s="1708"/>
      <c r="HK335" s="1708"/>
      <c r="HL335" s="1708"/>
      <c r="HM335" s="1708"/>
      <c r="HN335" s="1708"/>
      <c r="HO335" s="1708"/>
      <c r="HP335" s="1708"/>
      <c r="HQ335" s="1708"/>
      <c r="HR335" s="1708"/>
      <c r="HS335" s="1708"/>
      <c r="HT335" s="1708"/>
      <c r="HU335" s="1708"/>
      <c r="HV335" s="1708"/>
      <c r="HW335" s="1708"/>
      <c r="HX335" s="1708"/>
      <c r="HY335" s="1708"/>
      <c r="HZ335" s="1708"/>
      <c r="IA335" s="1708"/>
      <c r="IB335" s="1708"/>
      <c r="IC335" s="1708"/>
      <c r="ID335" s="1708"/>
      <c r="IE335" s="1708"/>
      <c r="IF335" s="1708"/>
      <c r="IG335" s="1708"/>
      <c r="IH335" s="1708"/>
      <c r="II335" s="1708"/>
      <c r="IJ335" s="1708"/>
      <c r="IK335" s="1708"/>
      <c r="IL335" s="1708"/>
      <c r="IM335" s="1708"/>
      <c r="IN335" s="1708"/>
      <c r="IO335" s="1708"/>
      <c r="IP335" s="1708"/>
      <c r="IQ335" s="1708"/>
      <c r="IR335" s="1708"/>
      <c r="IS335" s="1708"/>
      <c r="IT335" s="1708"/>
      <c r="IU335" s="1708"/>
      <c r="IV335" s="1708"/>
    </row>
    <row r="336" spans="2:256" s="57" customFormat="1" x14ac:dyDescent="0.25">
      <c r="B336" s="1836"/>
      <c r="G336" s="1849"/>
      <c r="J336" s="1850"/>
      <c r="K336" s="1850"/>
      <c r="S336" s="1708"/>
      <c r="T336" s="1708"/>
      <c r="U336" s="1708"/>
      <c r="V336" s="1708"/>
      <c r="W336" s="1708"/>
      <c r="X336" s="1708"/>
      <c r="Y336" s="1708"/>
      <c r="Z336" s="1708"/>
      <c r="AA336" s="1708"/>
      <c r="AB336" s="1708"/>
      <c r="AC336" s="1708"/>
      <c r="AD336" s="1708"/>
      <c r="AE336" s="1708"/>
      <c r="AF336" s="1708"/>
      <c r="AG336" s="1708"/>
      <c r="AH336" s="1708"/>
      <c r="AI336" s="1708"/>
      <c r="AJ336" s="1708"/>
      <c r="AK336" s="1708"/>
      <c r="AL336" s="1708"/>
      <c r="AM336" s="1708"/>
      <c r="AN336" s="1708"/>
      <c r="AO336" s="1708"/>
      <c r="AP336" s="1708"/>
      <c r="AQ336" s="1708"/>
      <c r="AR336" s="1708"/>
      <c r="AS336" s="1708"/>
      <c r="AT336" s="1708"/>
      <c r="AU336" s="1708"/>
      <c r="AV336" s="1708"/>
      <c r="AW336" s="1708"/>
      <c r="AX336" s="1708"/>
      <c r="AY336" s="1708"/>
      <c r="AZ336" s="1708"/>
      <c r="BA336" s="1708"/>
      <c r="BB336" s="1708"/>
      <c r="BC336" s="1708"/>
      <c r="BD336" s="1708"/>
      <c r="BE336" s="1708"/>
      <c r="BF336" s="1708"/>
      <c r="BG336" s="1708"/>
      <c r="BH336" s="1708"/>
      <c r="BI336" s="1708"/>
      <c r="BJ336" s="1708"/>
      <c r="BK336" s="1708"/>
      <c r="BL336" s="1708"/>
      <c r="BM336" s="1708"/>
      <c r="BN336" s="1708"/>
      <c r="BO336" s="1708"/>
      <c r="BP336" s="1708"/>
      <c r="BQ336" s="1708"/>
      <c r="BR336" s="1708"/>
      <c r="BS336" s="1708"/>
      <c r="BT336" s="1708"/>
      <c r="BU336" s="1708"/>
      <c r="BV336" s="1708"/>
      <c r="BW336" s="1708"/>
      <c r="BX336" s="1708"/>
      <c r="BY336" s="1708"/>
      <c r="BZ336" s="1708"/>
      <c r="CA336" s="1708"/>
      <c r="CB336" s="1708"/>
      <c r="CC336" s="1708"/>
      <c r="CD336" s="1708"/>
      <c r="CE336" s="1708"/>
      <c r="CF336" s="1708"/>
      <c r="CG336" s="1708"/>
      <c r="CH336" s="1708"/>
      <c r="CI336" s="1708"/>
      <c r="CJ336" s="1708"/>
      <c r="CK336" s="1708"/>
      <c r="CL336" s="1708"/>
      <c r="CM336" s="1708"/>
      <c r="CN336" s="1708"/>
      <c r="CO336" s="1708"/>
      <c r="CP336" s="1708"/>
      <c r="CQ336" s="1708"/>
      <c r="CR336" s="1708"/>
      <c r="CS336" s="1708"/>
      <c r="CT336" s="1708"/>
      <c r="CU336" s="1708"/>
      <c r="CV336" s="1708"/>
      <c r="CW336" s="1708"/>
      <c r="CX336" s="1708"/>
      <c r="CY336" s="1708"/>
      <c r="CZ336" s="1708"/>
      <c r="DA336" s="1708"/>
      <c r="DB336" s="1708"/>
      <c r="DC336" s="1708"/>
      <c r="DD336" s="1708"/>
      <c r="DE336" s="1708"/>
      <c r="DF336" s="1708"/>
      <c r="DG336" s="1708"/>
      <c r="DH336" s="1708"/>
      <c r="DI336" s="1708"/>
      <c r="DJ336" s="1708"/>
      <c r="DK336" s="1708"/>
      <c r="DL336" s="1708"/>
      <c r="DM336" s="1708"/>
      <c r="DN336" s="1708"/>
      <c r="DO336" s="1708"/>
      <c r="DP336" s="1708"/>
      <c r="DQ336" s="1708"/>
      <c r="DR336" s="1708"/>
      <c r="DS336" s="1708"/>
      <c r="DT336" s="1708"/>
      <c r="DU336" s="1708"/>
      <c r="DV336" s="1708"/>
      <c r="DW336" s="1708"/>
      <c r="DX336" s="1708"/>
      <c r="DY336" s="1708"/>
      <c r="DZ336" s="1708"/>
      <c r="EA336" s="1708"/>
      <c r="EB336" s="1708"/>
      <c r="EC336" s="1708"/>
      <c r="ED336" s="1708"/>
      <c r="EE336" s="1708"/>
      <c r="EF336" s="1708"/>
      <c r="EG336" s="1708"/>
      <c r="EH336" s="1708"/>
      <c r="EI336" s="1708"/>
      <c r="EJ336" s="1708"/>
      <c r="EK336" s="1708"/>
      <c r="EL336" s="1708"/>
      <c r="EM336" s="1708"/>
      <c r="EN336" s="1708"/>
      <c r="EO336" s="1708"/>
      <c r="EP336" s="1708"/>
      <c r="EQ336" s="1708"/>
      <c r="ER336" s="1708"/>
      <c r="ES336" s="1708"/>
      <c r="ET336" s="1708"/>
      <c r="EU336" s="1708"/>
      <c r="EV336" s="1708"/>
      <c r="EW336" s="1708"/>
      <c r="EX336" s="1708"/>
      <c r="EY336" s="1708"/>
      <c r="EZ336" s="1708"/>
      <c r="FA336" s="1708"/>
      <c r="FB336" s="1708"/>
      <c r="FC336" s="1708"/>
      <c r="FD336" s="1708"/>
      <c r="FE336" s="1708"/>
      <c r="FF336" s="1708"/>
      <c r="FG336" s="1708"/>
      <c r="FH336" s="1708"/>
      <c r="FI336" s="1708"/>
      <c r="FJ336" s="1708"/>
      <c r="FK336" s="1708"/>
      <c r="FL336" s="1708"/>
      <c r="FM336" s="1708"/>
      <c r="FN336" s="1708"/>
      <c r="FO336" s="1708"/>
      <c r="FP336" s="1708"/>
      <c r="FQ336" s="1708"/>
      <c r="FR336" s="1708"/>
      <c r="FS336" s="1708"/>
      <c r="FT336" s="1708"/>
      <c r="FU336" s="1708"/>
      <c r="FV336" s="1708"/>
      <c r="FW336" s="1708"/>
      <c r="FX336" s="1708"/>
      <c r="FY336" s="1708"/>
      <c r="FZ336" s="1708"/>
      <c r="GA336" s="1708"/>
      <c r="GB336" s="1708"/>
      <c r="GC336" s="1708"/>
      <c r="GD336" s="1708"/>
      <c r="GE336" s="1708"/>
      <c r="GF336" s="1708"/>
      <c r="GG336" s="1708"/>
      <c r="GH336" s="1708"/>
      <c r="GI336" s="1708"/>
      <c r="GJ336" s="1708"/>
      <c r="GK336" s="1708"/>
      <c r="GL336" s="1708"/>
      <c r="GM336" s="1708"/>
      <c r="GN336" s="1708"/>
      <c r="GO336" s="1708"/>
      <c r="GP336" s="1708"/>
      <c r="GQ336" s="1708"/>
      <c r="GR336" s="1708"/>
      <c r="GS336" s="1708"/>
      <c r="GT336" s="1708"/>
      <c r="GU336" s="1708"/>
      <c r="GV336" s="1708"/>
      <c r="GW336" s="1708"/>
      <c r="GX336" s="1708"/>
      <c r="GY336" s="1708"/>
      <c r="GZ336" s="1708"/>
      <c r="HA336" s="1708"/>
      <c r="HB336" s="1708"/>
      <c r="HC336" s="1708"/>
      <c r="HD336" s="1708"/>
      <c r="HE336" s="1708"/>
      <c r="HF336" s="1708"/>
      <c r="HG336" s="1708"/>
      <c r="HH336" s="1708"/>
      <c r="HI336" s="1708"/>
      <c r="HJ336" s="1708"/>
      <c r="HK336" s="1708"/>
      <c r="HL336" s="1708"/>
      <c r="HM336" s="1708"/>
      <c r="HN336" s="1708"/>
      <c r="HO336" s="1708"/>
      <c r="HP336" s="1708"/>
      <c r="HQ336" s="1708"/>
      <c r="HR336" s="1708"/>
      <c r="HS336" s="1708"/>
      <c r="HT336" s="1708"/>
      <c r="HU336" s="1708"/>
      <c r="HV336" s="1708"/>
      <c r="HW336" s="1708"/>
      <c r="HX336" s="1708"/>
      <c r="HY336" s="1708"/>
      <c r="HZ336" s="1708"/>
      <c r="IA336" s="1708"/>
      <c r="IB336" s="1708"/>
      <c r="IC336" s="1708"/>
      <c r="ID336" s="1708"/>
      <c r="IE336" s="1708"/>
      <c r="IF336" s="1708"/>
      <c r="IG336" s="1708"/>
      <c r="IH336" s="1708"/>
      <c r="II336" s="1708"/>
      <c r="IJ336" s="1708"/>
      <c r="IK336" s="1708"/>
      <c r="IL336" s="1708"/>
      <c r="IM336" s="1708"/>
      <c r="IN336" s="1708"/>
      <c r="IO336" s="1708"/>
      <c r="IP336" s="1708"/>
      <c r="IQ336" s="1708"/>
      <c r="IR336" s="1708"/>
      <c r="IS336" s="1708"/>
      <c r="IT336" s="1708"/>
      <c r="IU336" s="1708"/>
      <c r="IV336" s="1708"/>
    </row>
    <row r="337" spans="2:256" s="57" customFormat="1" x14ac:dyDescent="0.25">
      <c r="B337" s="1836"/>
      <c r="G337" s="1849"/>
      <c r="J337" s="1850"/>
      <c r="K337" s="1850"/>
      <c r="S337" s="1708"/>
      <c r="T337" s="1708"/>
      <c r="U337" s="1708"/>
      <c r="V337" s="1708"/>
      <c r="W337" s="1708"/>
      <c r="X337" s="1708"/>
      <c r="Y337" s="1708"/>
      <c r="Z337" s="1708"/>
      <c r="AA337" s="1708"/>
      <c r="AB337" s="1708"/>
      <c r="AC337" s="1708"/>
      <c r="AD337" s="1708"/>
      <c r="AE337" s="1708"/>
      <c r="AF337" s="1708"/>
      <c r="AG337" s="1708"/>
      <c r="AH337" s="1708"/>
      <c r="AI337" s="1708"/>
      <c r="AJ337" s="1708"/>
      <c r="AK337" s="1708"/>
      <c r="AL337" s="1708"/>
      <c r="AM337" s="1708"/>
      <c r="AN337" s="1708"/>
      <c r="AO337" s="1708"/>
      <c r="AP337" s="1708"/>
      <c r="AQ337" s="1708"/>
      <c r="AR337" s="1708"/>
      <c r="AS337" s="1708"/>
      <c r="AT337" s="1708"/>
      <c r="AU337" s="1708"/>
      <c r="AV337" s="1708"/>
      <c r="AW337" s="1708"/>
      <c r="AX337" s="1708"/>
      <c r="AY337" s="1708"/>
      <c r="AZ337" s="1708"/>
      <c r="BA337" s="1708"/>
      <c r="BB337" s="1708"/>
      <c r="BC337" s="1708"/>
      <c r="BD337" s="1708"/>
      <c r="BE337" s="1708"/>
      <c r="BF337" s="1708"/>
      <c r="BG337" s="1708"/>
      <c r="BH337" s="1708"/>
      <c r="BI337" s="1708"/>
      <c r="BJ337" s="1708"/>
      <c r="BK337" s="1708"/>
      <c r="BL337" s="1708"/>
      <c r="BM337" s="1708"/>
      <c r="BN337" s="1708"/>
      <c r="BO337" s="1708"/>
      <c r="BP337" s="1708"/>
      <c r="BQ337" s="1708"/>
      <c r="BR337" s="1708"/>
      <c r="BS337" s="1708"/>
      <c r="BT337" s="1708"/>
      <c r="BU337" s="1708"/>
      <c r="BV337" s="1708"/>
      <c r="BW337" s="1708"/>
      <c r="BX337" s="1708"/>
      <c r="BY337" s="1708"/>
      <c r="BZ337" s="1708"/>
      <c r="CA337" s="1708"/>
      <c r="CB337" s="1708"/>
      <c r="CC337" s="1708"/>
      <c r="CD337" s="1708"/>
      <c r="CE337" s="1708"/>
      <c r="CF337" s="1708"/>
      <c r="CG337" s="1708"/>
      <c r="CH337" s="1708"/>
      <c r="CI337" s="1708"/>
      <c r="CJ337" s="1708"/>
      <c r="CK337" s="1708"/>
      <c r="CL337" s="1708"/>
      <c r="CM337" s="1708"/>
      <c r="CN337" s="1708"/>
      <c r="CO337" s="1708"/>
      <c r="CP337" s="1708"/>
      <c r="CQ337" s="1708"/>
      <c r="CR337" s="1708"/>
      <c r="CS337" s="1708"/>
      <c r="CT337" s="1708"/>
      <c r="CU337" s="1708"/>
      <c r="CV337" s="1708"/>
      <c r="CW337" s="1708"/>
      <c r="CX337" s="1708"/>
      <c r="CY337" s="1708"/>
      <c r="CZ337" s="1708"/>
      <c r="DA337" s="1708"/>
      <c r="DB337" s="1708"/>
      <c r="DC337" s="1708"/>
      <c r="DD337" s="1708"/>
      <c r="DE337" s="1708"/>
      <c r="DF337" s="1708"/>
      <c r="DG337" s="1708"/>
      <c r="DH337" s="1708"/>
      <c r="DI337" s="1708"/>
      <c r="DJ337" s="1708"/>
      <c r="DK337" s="1708"/>
      <c r="DL337" s="1708"/>
      <c r="DM337" s="1708"/>
      <c r="DN337" s="1708"/>
      <c r="DO337" s="1708"/>
      <c r="DP337" s="1708"/>
      <c r="DQ337" s="1708"/>
      <c r="DR337" s="1708"/>
      <c r="DS337" s="1708"/>
      <c r="DT337" s="1708"/>
      <c r="DU337" s="1708"/>
      <c r="DV337" s="1708"/>
      <c r="DW337" s="1708"/>
      <c r="DX337" s="1708"/>
      <c r="DY337" s="1708"/>
      <c r="DZ337" s="1708"/>
      <c r="EA337" s="1708"/>
      <c r="EB337" s="1708"/>
      <c r="EC337" s="1708"/>
      <c r="ED337" s="1708"/>
      <c r="EE337" s="1708"/>
      <c r="EF337" s="1708"/>
      <c r="EG337" s="1708"/>
      <c r="EH337" s="1708"/>
      <c r="EI337" s="1708"/>
      <c r="EJ337" s="1708"/>
      <c r="EK337" s="1708"/>
      <c r="EL337" s="1708"/>
      <c r="EM337" s="1708"/>
      <c r="EN337" s="1708"/>
      <c r="EO337" s="1708"/>
      <c r="EP337" s="1708"/>
      <c r="EQ337" s="1708"/>
      <c r="ER337" s="1708"/>
      <c r="ES337" s="1708"/>
      <c r="ET337" s="1708"/>
      <c r="EU337" s="1708"/>
      <c r="EV337" s="1708"/>
      <c r="EW337" s="1708"/>
      <c r="EX337" s="1708"/>
      <c r="EY337" s="1708"/>
      <c r="EZ337" s="1708"/>
      <c r="FA337" s="1708"/>
      <c r="FB337" s="1708"/>
      <c r="FC337" s="1708"/>
      <c r="FD337" s="1708"/>
      <c r="FE337" s="1708"/>
      <c r="FF337" s="1708"/>
      <c r="FG337" s="1708"/>
      <c r="FH337" s="1708"/>
      <c r="FI337" s="1708"/>
      <c r="FJ337" s="1708"/>
      <c r="FK337" s="1708"/>
      <c r="FL337" s="1708"/>
      <c r="FM337" s="1708"/>
      <c r="FN337" s="1708"/>
      <c r="FO337" s="1708"/>
      <c r="FP337" s="1708"/>
      <c r="FQ337" s="1708"/>
      <c r="FR337" s="1708"/>
      <c r="FS337" s="1708"/>
      <c r="FT337" s="1708"/>
      <c r="FU337" s="1708"/>
      <c r="FV337" s="1708"/>
      <c r="FW337" s="1708"/>
      <c r="FX337" s="1708"/>
      <c r="FY337" s="1708"/>
      <c r="FZ337" s="1708"/>
      <c r="GA337" s="1708"/>
      <c r="GB337" s="1708"/>
      <c r="GC337" s="1708"/>
      <c r="GD337" s="1708"/>
      <c r="GE337" s="1708"/>
      <c r="GF337" s="1708"/>
      <c r="GG337" s="1708"/>
      <c r="GH337" s="1708"/>
      <c r="GI337" s="1708"/>
      <c r="GJ337" s="1708"/>
      <c r="GK337" s="1708"/>
      <c r="GL337" s="1708"/>
      <c r="GM337" s="1708"/>
      <c r="GN337" s="1708"/>
      <c r="GO337" s="1708"/>
      <c r="GP337" s="1708"/>
      <c r="GQ337" s="1708"/>
      <c r="GR337" s="1708"/>
      <c r="GS337" s="1708"/>
      <c r="GT337" s="1708"/>
      <c r="GU337" s="1708"/>
      <c r="GV337" s="1708"/>
      <c r="GW337" s="1708"/>
      <c r="GX337" s="1708"/>
      <c r="GY337" s="1708"/>
      <c r="GZ337" s="1708"/>
      <c r="HA337" s="1708"/>
      <c r="HB337" s="1708"/>
      <c r="HC337" s="1708"/>
      <c r="HD337" s="1708"/>
      <c r="HE337" s="1708"/>
      <c r="HF337" s="1708"/>
      <c r="HG337" s="1708"/>
      <c r="HH337" s="1708"/>
      <c r="HI337" s="1708"/>
      <c r="HJ337" s="1708"/>
      <c r="HK337" s="1708"/>
      <c r="HL337" s="1708"/>
      <c r="HM337" s="1708"/>
      <c r="HN337" s="1708"/>
      <c r="HO337" s="1708"/>
      <c r="HP337" s="1708"/>
      <c r="HQ337" s="1708"/>
      <c r="HR337" s="1708"/>
      <c r="HS337" s="1708"/>
      <c r="HT337" s="1708"/>
      <c r="HU337" s="1708"/>
      <c r="HV337" s="1708"/>
      <c r="HW337" s="1708"/>
      <c r="HX337" s="1708"/>
      <c r="HY337" s="1708"/>
      <c r="HZ337" s="1708"/>
      <c r="IA337" s="1708"/>
      <c r="IB337" s="1708"/>
      <c r="IC337" s="1708"/>
      <c r="ID337" s="1708"/>
      <c r="IE337" s="1708"/>
      <c r="IF337" s="1708"/>
      <c r="IG337" s="1708"/>
      <c r="IH337" s="1708"/>
      <c r="II337" s="1708"/>
      <c r="IJ337" s="1708"/>
      <c r="IK337" s="1708"/>
      <c r="IL337" s="1708"/>
      <c r="IM337" s="1708"/>
      <c r="IN337" s="1708"/>
      <c r="IO337" s="1708"/>
      <c r="IP337" s="1708"/>
      <c r="IQ337" s="1708"/>
      <c r="IR337" s="1708"/>
      <c r="IS337" s="1708"/>
      <c r="IT337" s="1708"/>
      <c r="IU337" s="1708"/>
      <c r="IV337" s="1708"/>
    </row>
    <row r="338" spans="2:256" s="57" customFormat="1" x14ac:dyDescent="0.25">
      <c r="B338" s="1836"/>
      <c r="G338" s="1849"/>
      <c r="J338" s="1850"/>
      <c r="K338" s="1850"/>
      <c r="S338" s="1708"/>
      <c r="T338" s="1708"/>
      <c r="U338" s="1708"/>
      <c r="V338" s="1708"/>
      <c r="W338" s="1708"/>
      <c r="X338" s="1708"/>
      <c r="Y338" s="1708"/>
      <c r="Z338" s="1708"/>
      <c r="AA338" s="1708"/>
      <c r="AB338" s="1708"/>
      <c r="AC338" s="1708"/>
      <c r="AD338" s="1708"/>
      <c r="AE338" s="1708"/>
      <c r="AF338" s="1708"/>
      <c r="AG338" s="1708"/>
      <c r="AH338" s="1708"/>
      <c r="AI338" s="1708"/>
      <c r="AJ338" s="1708"/>
      <c r="AK338" s="1708"/>
      <c r="AL338" s="1708"/>
      <c r="AM338" s="1708"/>
      <c r="AN338" s="1708"/>
      <c r="AO338" s="1708"/>
      <c r="AP338" s="1708"/>
      <c r="AQ338" s="1708"/>
      <c r="AR338" s="1708"/>
      <c r="AS338" s="1708"/>
      <c r="AT338" s="1708"/>
      <c r="AU338" s="1708"/>
      <c r="AV338" s="1708"/>
      <c r="AW338" s="1708"/>
      <c r="AX338" s="1708"/>
      <c r="AY338" s="1708"/>
      <c r="AZ338" s="1708"/>
      <c r="BA338" s="1708"/>
      <c r="BB338" s="1708"/>
      <c r="BC338" s="1708"/>
      <c r="BD338" s="1708"/>
      <c r="BE338" s="1708"/>
      <c r="BF338" s="1708"/>
      <c r="BG338" s="1708"/>
      <c r="BH338" s="1708"/>
      <c r="BI338" s="1708"/>
      <c r="BJ338" s="1708"/>
      <c r="BK338" s="1708"/>
      <c r="BL338" s="1708"/>
      <c r="BM338" s="1708"/>
      <c r="BN338" s="1708"/>
      <c r="BO338" s="1708"/>
      <c r="BP338" s="1708"/>
      <c r="BQ338" s="1708"/>
      <c r="BR338" s="1708"/>
      <c r="BS338" s="1708"/>
      <c r="BT338" s="1708"/>
      <c r="BU338" s="1708"/>
      <c r="BV338" s="1708"/>
      <c r="BW338" s="1708"/>
      <c r="BX338" s="1708"/>
      <c r="BY338" s="1708"/>
      <c r="BZ338" s="1708"/>
      <c r="CA338" s="1708"/>
      <c r="CB338" s="1708"/>
      <c r="CC338" s="1708"/>
      <c r="CD338" s="1708"/>
      <c r="CE338" s="1708"/>
      <c r="CF338" s="1708"/>
      <c r="CG338" s="1708"/>
      <c r="CH338" s="1708"/>
      <c r="CI338" s="1708"/>
      <c r="CJ338" s="1708"/>
      <c r="CK338" s="1708"/>
      <c r="CL338" s="1708"/>
      <c r="CM338" s="1708"/>
      <c r="CN338" s="1708"/>
      <c r="CO338" s="1708"/>
      <c r="CP338" s="1708"/>
      <c r="CQ338" s="1708"/>
      <c r="CR338" s="1708"/>
      <c r="CS338" s="1708"/>
      <c r="CT338" s="1708"/>
      <c r="CU338" s="1708"/>
      <c r="CV338" s="1708"/>
      <c r="CW338" s="1708"/>
      <c r="CX338" s="1708"/>
      <c r="CY338" s="1708"/>
      <c r="CZ338" s="1708"/>
      <c r="DA338" s="1708"/>
      <c r="DB338" s="1708"/>
      <c r="DC338" s="1708"/>
      <c r="DD338" s="1708"/>
      <c r="DE338" s="1708"/>
      <c r="DF338" s="1708"/>
      <c r="DG338" s="1708"/>
      <c r="DH338" s="1708"/>
      <c r="DI338" s="1708"/>
      <c r="DJ338" s="1708"/>
      <c r="DK338" s="1708"/>
      <c r="DL338" s="1708"/>
      <c r="DM338" s="1708"/>
      <c r="DN338" s="1708"/>
      <c r="DO338" s="1708"/>
      <c r="DP338" s="1708"/>
      <c r="DQ338" s="1708"/>
      <c r="DR338" s="1708"/>
      <c r="DS338" s="1708"/>
      <c r="DT338" s="1708"/>
      <c r="DU338" s="1708"/>
      <c r="DV338" s="1708"/>
      <c r="DW338" s="1708"/>
      <c r="DX338" s="1708"/>
      <c r="DY338" s="1708"/>
      <c r="DZ338" s="1708"/>
      <c r="EA338" s="1708"/>
      <c r="EB338" s="1708"/>
      <c r="EC338" s="1708"/>
      <c r="ED338" s="1708"/>
      <c r="EE338" s="1708"/>
      <c r="EF338" s="1708"/>
      <c r="EG338" s="1708"/>
      <c r="EH338" s="1708"/>
      <c r="EI338" s="1708"/>
      <c r="EJ338" s="1708"/>
      <c r="EK338" s="1708"/>
      <c r="EL338" s="1708"/>
      <c r="EM338" s="1708"/>
      <c r="EN338" s="1708"/>
      <c r="EO338" s="1708"/>
      <c r="EP338" s="1708"/>
      <c r="EQ338" s="1708"/>
      <c r="ER338" s="1708"/>
      <c r="ES338" s="1708"/>
      <c r="ET338" s="1708"/>
      <c r="EU338" s="1708"/>
      <c r="EV338" s="1708"/>
      <c r="EW338" s="1708"/>
      <c r="EX338" s="1708"/>
      <c r="EY338" s="1708"/>
      <c r="EZ338" s="1708"/>
      <c r="FA338" s="1708"/>
      <c r="FB338" s="1708"/>
      <c r="FC338" s="1708"/>
      <c r="FD338" s="1708"/>
      <c r="FE338" s="1708"/>
      <c r="FF338" s="1708"/>
      <c r="FG338" s="1708"/>
      <c r="FH338" s="1708"/>
      <c r="FI338" s="1708"/>
      <c r="FJ338" s="1708"/>
      <c r="FK338" s="1708"/>
      <c r="FL338" s="1708"/>
      <c r="FM338" s="1708"/>
      <c r="FN338" s="1708"/>
      <c r="FO338" s="1708"/>
      <c r="FP338" s="1708"/>
      <c r="FQ338" s="1708"/>
      <c r="FR338" s="1708"/>
      <c r="FS338" s="1708"/>
      <c r="FT338" s="1708"/>
      <c r="FU338" s="1708"/>
      <c r="FV338" s="1708"/>
      <c r="FW338" s="1708"/>
      <c r="FX338" s="1708"/>
      <c r="FY338" s="1708"/>
      <c r="FZ338" s="1708"/>
      <c r="GA338" s="1708"/>
      <c r="GB338" s="1708"/>
      <c r="GC338" s="1708"/>
      <c r="GD338" s="1708"/>
      <c r="GE338" s="1708"/>
      <c r="GF338" s="1708"/>
      <c r="GG338" s="1708"/>
      <c r="GH338" s="1708"/>
      <c r="GI338" s="1708"/>
      <c r="GJ338" s="1708"/>
      <c r="GK338" s="1708"/>
      <c r="GL338" s="1708"/>
      <c r="GM338" s="1708"/>
      <c r="GN338" s="1708"/>
      <c r="GO338" s="1708"/>
      <c r="GP338" s="1708"/>
      <c r="GQ338" s="1708"/>
      <c r="GR338" s="1708"/>
      <c r="GS338" s="1708"/>
      <c r="GT338" s="1708"/>
      <c r="GU338" s="1708"/>
      <c r="GV338" s="1708"/>
      <c r="GW338" s="1708"/>
      <c r="GX338" s="1708"/>
      <c r="GY338" s="1708"/>
      <c r="GZ338" s="1708"/>
      <c r="HA338" s="1708"/>
      <c r="HB338" s="1708"/>
      <c r="HC338" s="1708"/>
      <c r="HD338" s="1708"/>
      <c r="HE338" s="1708"/>
      <c r="HF338" s="1708"/>
      <c r="HG338" s="1708"/>
      <c r="HH338" s="1708"/>
      <c r="HI338" s="1708"/>
      <c r="HJ338" s="1708"/>
      <c r="HK338" s="1708"/>
      <c r="HL338" s="1708"/>
      <c r="HM338" s="1708"/>
      <c r="HN338" s="1708"/>
      <c r="HO338" s="1708"/>
      <c r="HP338" s="1708"/>
      <c r="HQ338" s="1708"/>
      <c r="HR338" s="1708"/>
      <c r="HS338" s="1708"/>
      <c r="HT338" s="1708"/>
      <c r="HU338" s="1708"/>
      <c r="HV338" s="1708"/>
      <c r="HW338" s="1708"/>
      <c r="HX338" s="1708"/>
      <c r="HY338" s="1708"/>
      <c r="HZ338" s="1708"/>
      <c r="IA338" s="1708"/>
      <c r="IB338" s="1708"/>
      <c r="IC338" s="1708"/>
      <c r="ID338" s="1708"/>
      <c r="IE338" s="1708"/>
      <c r="IF338" s="1708"/>
      <c r="IG338" s="1708"/>
      <c r="IH338" s="1708"/>
      <c r="II338" s="1708"/>
      <c r="IJ338" s="1708"/>
      <c r="IK338" s="1708"/>
      <c r="IL338" s="1708"/>
      <c r="IM338" s="1708"/>
      <c r="IN338" s="1708"/>
      <c r="IO338" s="1708"/>
      <c r="IP338" s="1708"/>
      <c r="IQ338" s="1708"/>
      <c r="IR338" s="1708"/>
      <c r="IS338" s="1708"/>
      <c r="IT338" s="1708"/>
      <c r="IU338" s="1708"/>
      <c r="IV338" s="1708"/>
    </row>
    <row r="339" spans="2:256" s="57" customFormat="1" x14ac:dyDescent="0.25">
      <c r="B339" s="1836"/>
      <c r="G339" s="1849"/>
      <c r="J339" s="1850"/>
      <c r="K339" s="1850"/>
      <c r="S339" s="1708"/>
      <c r="T339" s="1708"/>
      <c r="U339" s="1708"/>
      <c r="V339" s="1708"/>
      <c r="W339" s="1708"/>
      <c r="X339" s="1708"/>
      <c r="Y339" s="1708"/>
      <c r="Z339" s="1708"/>
      <c r="AA339" s="1708"/>
      <c r="AB339" s="1708"/>
      <c r="AC339" s="1708"/>
      <c r="AD339" s="1708"/>
      <c r="AE339" s="1708"/>
      <c r="AF339" s="1708"/>
      <c r="AG339" s="1708"/>
      <c r="AH339" s="1708"/>
      <c r="AI339" s="1708"/>
      <c r="AJ339" s="1708"/>
      <c r="AK339" s="1708"/>
      <c r="AL339" s="1708"/>
      <c r="AM339" s="1708"/>
      <c r="AN339" s="1708"/>
      <c r="AO339" s="1708"/>
      <c r="AP339" s="1708"/>
      <c r="AQ339" s="1708"/>
      <c r="AR339" s="1708"/>
      <c r="AS339" s="1708"/>
      <c r="AT339" s="1708"/>
      <c r="AU339" s="1708"/>
      <c r="AV339" s="1708"/>
      <c r="AW339" s="1708"/>
      <c r="AX339" s="1708"/>
      <c r="AY339" s="1708"/>
      <c r="AZ339" s="1708"/>
      <c r="BA339" s="1708"/>
      <c r="BB339" s="1708"/>
      <c r="BC339" s="1708"/>
      <c r="BD339" s="1708"/>
      <c r="BE339" s="1708"/>
      <c r="BF339" s="1708"/>
      <c r="BG339" s="1708"/>
      <c r="BH339" s="1708"/>
      <c r="BI339" s="1708"/>
      <c r="BJ339" s="1708"/>
      <c r="BK339" s="1708"/>
      <c r="BL339" s="1708"/>
      <c r="BM339" s="1708"/>
      <c r="BN339" s="1708"/>
      <c r="BO339" s="1708"/>
      <c r="BP339" s="1708"/>
      <c r="BQ339" s="1708"/>
      <c r="BR339" s="1708"/>
      <c r="BS339" s="1708"/>
      <c r="BT339" s="1708"/>
      <c r="BU339" s="1708"/>
      <c r="BV339" s="1708"/>
      <c r="BW339" s="1708"/>
      <c r="BX339" s="1708"/>
      <c r="BY339" s="1708"/>
      <c r="BZ339" s="1708"/>
      <c r="CA339" s="1708"/>
      <c r="CB339" s="1708"/>
      <c r="CC339" s="1708"/>
      <c r="CD339" s="1708"/>
      <c r="CE339" s="1708"/>
      <c r="CF339" s="1708"/>
      <c r="CG339" s="1708"/>
      <c r="CH339" s="1708"/>
      <c r="CI339" s="1708"/>
      <c r="CJ339" s="1708"/>
      <c r="CK339" s="1708"/>
      <c r="CL339" s="1708"/>
      <c r="CM339" s="1708"/>
      <c r="CN339" s="1708"/>
      <c r="CO339" s="1708"/>
      <c r="CP339" s="1708"/>
      <c r="CQ339" s="1708"/>
      <c r="CR339" s="1708"/>
      <c r="CS339" s="1708"/>
      <c r="CT339" s="1708"/>
      <c r="CU339" s="1708"/>
      <c r="CV339" s="1708"/>
      <c r="CW339" s="1708"/>
      <c r="CX339" s="1708"/>
      <c r="CY339" s="1708"/>
      <c r="CZ339" s="1708"/>
      <c r="DA339" s="1708"/>
      <c r="DB339" s="1708"/>
      <c r="DC339" s="1708"/>
      <c r="DD339" s="1708"/>
      <c r="DE339" s="1708"/>
      <c r="DF339" s="1708"/>
      <c r="DG339" s="1708"/>
      <c r="DH339" s="1708"/>
      <c r="DI339" s="1708"/>
      <c r="DJ339" s="1708"/>
      <c r="DK339" s="1708"/>
      <c r="DL339" s="1708"/>
      <c r="DM339" s="1708"/>
      <c r="DN339" s="1708"/>
      <c r="DO339" s="1708"/>
      <c r="DP339" s="1708"/>
      <c r="DQ339" s="1708"/>
      <c r="DR339" s="1708"/>
      <c r="DS339" s="1708"/>
      <c r="DT339" s="1708"/>
      <c r="DU339" s="1708"/>
      <c r="DV339" s="1708"/>
      <c r="DW339" s="1708"/>
      <c r="DX339" s="1708"/>
      <c r="DY339" s="1708"/>
      <c r="DZ339" s="1708"/>
      <c r="EA339" s="1708"/>
      <c r="EB339" s="1708"/>
      <c r="EC339" s="1708"/>
      <c r="ED339" s="1708"/>
      <c r="EE339" s="1708"/>
      <c r="EF339" s="1708"/>
      <c r="EG339" s="1708"/>
      <c r="EH339" s="1708"/>
      <c r="EI339" s="1708"/>
      <c r="EJ339" s="1708"/>
      <c r="EK339" s="1708"/>
      <c r="EL339" s="1708"/>
      <c r="EM339" s="1708"/>
      <c r="EN339" s="1708"/>
      <c r="EO339" s="1708"/>
      <c r="EP339" s="1708"/>
      <c r="EQ339" s="1708"/>
      <c r="ER339" s="1708"/>
      <c r="ES339" s="1708"/>
      <c r="ET339" s="1708"/>
      <c r="EU339" s="1708"/>
      <c r="EV339" s="1708"/>
      <c r="EW339" s="1708"/>
      <c r="EX339" s="1708"/>
      <c r="EY339" s="1708"/>
      <c r="EZ339" s="1708"/>
      <c r="FA339" s="1708"/>
      <c r="FB339" s="1708"/>
      <c r="FC339" s="1708"/>
      <c r="FD339" s="1708"/>
      <c r="FE339" s="1708"/>
      <c r="FF339" s="1708"/>
      <c r="FG339" s="1708"/>
      <c r="FH339" s="1708"/>
      <c r="FI339" s="1708"/>
      <c r="FJ339" s="1708"/>
      <c r="FK339" s="1708"/>
      <c r="FL339" s="1708"/>
      <c r="FM339" s="1708"/>
      <c r="FN339" s="1708"/>
      <c r="FO339" s="1708"/>
      <c r="FP339" s="1708"/>
      <c r="FQ339" s="1708"/>
      <c r="FR339" s="1708"/>
      <c r="FS339" s="1708"/>
      <c r="FT339" s="1708"/>
      <c r="FU339" s="1708"/>
      <c r="FV339" s="1708"/>
      <c r="FW339" s="1708"/>
      <c r="FX339" s="1708"/>
      <c r="FY339" s="1708"/>
      <c r="FZ339" s="1708"/>
      <c r="GA339" s="1708"/>
      <c r="GB339" s="1708"/>
      <c r="GC339" s="1708"/>
      <c r="GD339" s="1708"/>
      <c r="GE339" s="1708"/>
      <c r="GF339" s="1708"/>
      <c r="GG339" s="1708"/>
      <c r="GH339" s="1708"/>
      <c r="GI339" s="1708"/>
      <c r="GJ339" s="1708"/>
      <c r="GK339" s="1708"/>
      <c r="GL339" s="1708"/>
      <c r="GM339" s="1708"/>
      <c r="GN339" s="1708"/>
      <c r="GO339" s="1708"/>
      <c r="GP339" s="1708"/>
      <c r="GQ339" s="1708"/>
      <c r="GR339" s="1708"/>
      <c r="GS339" s="1708"/>
      <c r="GT339" s="1708"/>
      <c r="GU339" s="1708"/>
      <c r="GV339" s="1708"/>
      <c r="GW339" s="1708"/>
      <c r="GX339" s="1708"/>
      <c r="GY339" s="1708"/>
      <c r="GZ339" s="1708"/>
      <c r="HA339" s="1708"/>
      <c r="HB339" s="1708"/>
      <c r="HC339" s="1708"/>
      <c r="HD339" s="1708"/>
      <c r="HE339" s="1708"/>
      <c r="HF339" s="1708"/>
      <c r="HG339" s="1708"/>
      <c r="HH339" s="1708"/>
      <c r="HI339" s="1708"/>
      <c r="HJ339" s="1708"/>
      <c r="HK339" s="1708"/>
      <c r="HL339" s="1708"/>
      <c r="HM339" s="1708"/>
      <c r="HN339" s="1708"/>
      <c r="HO339" s="1708"/>
      <c r="HP339" s="1708"/>
      <c r="HQ339" s="1708"/>
      <c r="HR339" s="1708"/>
      <c r="HS339" s="1708"/>
      <c r="HT339" s="1708"/>
      <c r="HU339" s="1708"/>
      <c r="HV339" s="1708"/>
      <c r="HW339" s="1708"/>
      <c r="HX339" s="1708"/>
      <c r="HY339" s="1708"/>
      <c r="HZ339" s="1708"/>
      <c r="IA339" s="1708"/>
      <c r="IB339" s="1708"/>
      <c r="IC339" s="1708"/>
      <c r="ID339" s="1708"/>
      <c r="IE339" s="1708"/>
      <c r="IF339" s="1708"/>
      <c r="IG339" s="1708"/>
      <c r="IH339" s="1708"/>
      <c r="II339" s="1708"/>
      <c r="IJ339" s="1708"/>
      <c r="IK339" s="1708"/>
      <c r="IL339" s="1708"/>
      <c r="IM339" s="1708"/>
      <c r="IN339" s="1708"/>
      <c r="IO339" s="1708"/>
      <c r="IP339" s="1708"/>
      <c r="IQ339" s="1708"/>
      <c r="IR339" s="1708"/>
      <c r="IS339" s="1708"/>
      <c r="IT339" s="1708"/>
      <c r="IU339" s="1708"/>
      <c r="IV339" s="1708"/>
    </row>
    <row r="340" spans="2:256" s="57" customFormat="1" x14ac:dyDescent="0.25">
      <c r="B340" s="1836"/>
      <c r="G340" s="1849"/>
      <c r="J340" s="1850"/>
      <c r="K340" s="1850"/>
      <c r="S340" s="1708"/>
      <c r="T340" s="1708"/>
      <c r="U340" s="1708"/>
      <c r="V340" s="1708"/>
      <c r="W340" s="1708"/>
      <c r="X340" s="1708"/>
      <c r="Y340" s="1708"/>
      <c r="Z340" s="1708"/>
      <c r="AA340" s="1708"/>
      <c r="AB340" s="1708"/>
      <c r="AC340" s="1708"/>
      <c r="AD340" s="1708"/>
      <c r="AE340" s="1708"/>
      <c r="AF340" s="1708"/>
      <c r="AG340" s="1708"/>
      <c r="AH340" s="1708"/>
      <c r="AI340" s="1708"/>
      <c r="AJ340" s="1708"/>
      <c r="AK340" s="1708"/>
      <c r="AL340" s="1708"/>
      <c r="AM340" s="1708"/>
      <c r="AN340" s="1708"/>
      <c r="AO340" s="1708"/>
      <c r="AP340" s="1708"/>
      <c r="AQ340" s="1708"/>
      <c r="AR340" s="1708"/>
      <c r="AS340" s="1708"/>
      <c r="AT340" s="1708"/>
      <c r="AU340" s="1708"/>
      <c r="AV340" s="1708"/>
      <c r="AW340" s="1708"/>
      <c r="AX340" s="1708"/>
      <c r="AY340" s="1708"/>
      <c r="AZ340" s="1708"/>
      <c r="BA340" s="1708"/>
      <c r="BB340" s="1708"/>
      <c r="BC340" s="1708"/>
      <c r="BD340" s="1708"/>
      <c r="BE340" s="1708"/>
      <c r="BF340" s="1708"/>
      <c r="BG340" s="1708"/>
      <c r="BH340" s="1708"/>
      <c r="BI340" s="1708"/>
      <c r="BJ340" s="1708"/>
      <c r="BK340" s="1708"/>
      <c r="BL340" s="1708"/>
      <c r="BM340" s="1708"/>
      <c r="BN340" s="1708"/>
      <c r="BO340" s="1708"/>
      <c r="BP340" s="1708"/>
      <c r="BQ340" s="1708"/>
      <c r="BR340" s="1708"/>
      <c r="BS340" s="1708"/>
      <c r="BT340" s="1708"/>
      <c r="BU340" s="1708"/>
      <c r="BV340" s="1708"/>
      <c r="BW340" s="1708"/>
      <c r="BX340" s="1708"/>
      <c r="BY340" s="1708"/>
      <c r="BZ340" s="1708"/>
      <c r="CA340" s="1708"/>
      <c r="CB340" s="1708"/>
      <c r="CC340" s="1708"/>
      <c r="CD340" s="1708"/>
      <c r="CE340" s="1708"/>
      <c r="CF340" s="1708"/>
      <c r="CG340" s="1708"/>
      <c r="CH340" s="1708"/>
      <c r="CI340" s="1708"/>
      <c r="CJ340" s="1708"/>
      <c r="CK340" s="1708"/>
      <c r="CL340" s="1708"/>
      <c r="CM340" s="1708"/>
      <c r="CN340" s="1708"/>
      <c r="CO340" s="1708"/>
      <c r="CP340" s="1708"/>
      <c r="CQ340" s="1708"/>
      <c r="CR340" s="1708"/>
      <c r="CS340" s="1708"/>
      <c r="CT340" s="1708"/>
      <c r="CU340" s="1708"/>
      <c r="CV340" s="1708"/>
      <c r="CW340" s="1708"/>
      <c r="CX340" s="1708"/>
      <c r="CY340" s="1708"/>
      <c r="CZ340" s="1708"/>
      <c r="DA340" s="1708"/>
      <c r="DB340" s="1708"/>
      <c r="DC340" s="1708"/>
      <c r="DD340" s="1708"/>
      <c r="DE340" s="1708"/>
      <c r="DF340" s="1708"/>
      <c r="DG340" s="1708"/>
      <c r="DH340" s="1708"/>
      <c r="DI340" s="1708"/>
      <c r="DJ340" s="1708"/>
      <c r="DK340" s="1708"/>
      <c r="DL340" s="1708"/>
      <c r="DM340" s="1708"/>
      <c r="DN340" s="1708"/>
      <c r="DO340" s="1708"/>
      <c r="DP340" s="1708"/>
      <c r="DQ340" s="1708"/>
      <c r="DR340" s="1708"/>
      <c r="DS340" s="1708"/>
      <c r="DT340" s="1708"/>
      <c r="DU340" s="1708"/>
      <c r="DV340" s="1708"/>
      <c r="DW340" s="1708"/>
      <c r="DX340" s="1708"/>
      <c r="DY340" s="1708"/>
      <c r="DZ340" s="1708"/>
      <c r="EA340" s="1708"/>
      <c r="EB340" s="1708"/>
      <c r="EC340" s="1708"/>
      <c r="ED340" s="1708"/>
      <c r="EE340" s="1708"/>
      <c r="EF340" s="1708"/>
      <c r="EG340" s="1708"/>
      <c r="EH340" s="1708"/>
      <c r="EI340" s="1708"/>
      <c r="EJ340" s="1708"/>
      <c r="EK340" s="1708"/>
      <c r="EL340" s="1708"/>
      <c r="EM340" s="1708"/>
      <c r="EN340" s="1708"/>
      <c r="EO340" s="1708"/>
      <c r="EP340" s="1708"/>
      <c r="EQ340" s="1708"/>
      <c r="ER340" s="1708"/>
      <c r="ES340" s="1708"/>
      <c r="ET340" s="1708"/>
      <c r="EU340" s="1708"/>
      <c r="EV340" s="1708"/>
      <c r="EW340" s="1708"/>
      <c r="EX340" s="1708"/>
      <c r="EY340" s="1708"/>
      <c r="EZ340" s="1708"/>
      <c r="FA340" s="1708"/>
      <c r="FB340" s="1708"/>
      <c r="FC340" s="1708"/>
      <c r="FD340" s="1708"/>
      <c r="FE340" s="1708"/>
      <c r="FF340" s="1708"/>
      <c r="FG340" s="1708"/>
      <c r="FH340" s="1708"/>
      <c r="FI340" s="1708"/>
      <c r="FJ340" s="1708"/>
      <c r="FK340" s="1708"/>
      <c r="FL340" s="1708"/>
      <c r="FM340" s="1708"/>
      <c r="FN340" s="1708"/>
      <c r="FO340" s="1708"/>
      <c r="FP340" s="1708"/>
      <c r="FQ340" s="1708"/>
      <c r="FR340" s="1708"/>
      <c r="FS340" s="1708"/>
      <c r="FT340" s="1708"/>
      <c r="FU340" s="1708"/>
      <c r="FV340" s="1708"/>
      <c r="FW340" s="1708"/>
      <c r="FX340" s="1708"/>
      <c r="FY340" s="1708"/>
      <c r="FZ340" s="1708"/>
      <c r="GA340" s="1708"/>
      <c r="GB340" s="1708"/>
      <c r="GC340" s="1708"/>
      <c r="GD340" s="1708"/>
      <c r="GE340" s="1708"/>
      <c r="GF340" s="1708"/>
      <c r="GG340" s="1708"/>
      <c r="GH340" s="1708"/>
      <c r="GI340" s="1708"/>
      <c r="GJ340" s="1708"/>
      <c r="GK340" s="1708"/>
      <c r="GL340" s="1708"/>
      <c r="GM340" s="1708"/>
      <c r="GN340" s="1708"/>
      <c r="GO340" s="1708"/>
      <c r="GP340" s="1708"/>
      <c r="GQ340" s="1708"/>
      <c r="GR340" s="1708"/>
      <c r="GS340" s="1708"/>
      <c r="GT340" s="1708"/>
      <c r="GU340" s="1708"/>
      <c r="GV340" s="1708"/>
      <c r="GW340" s="1708"/>
      <c r="GX340" s="1708"/>
      <c r="GY340" s="1708"/>
      <c r="GZ340" s="1708"/>
      <c r="HA340" s="1708"/>
      <c r="HB340" s="1708"/>
      <c r="HC340" s="1708"/>
      <c r="HD340" s="1708"/>
      <c r="HE340" s="1708"/>
      <c r="HF340" s="1708"/>
      <c r="HG340" s="1708"/>
      <c r="HH340" s="1708"/>
      <c r="HI340" s="1708"/>
      <c r="HJ340" s="1708"/>
      <c r="HK340" s="1708"/>
      <c r="HL340" s="1708"/>
      <c r="HM340" s="1708"/>
      <c r="HN340" s="1708"/>
      <c r="HO340" s="1708"/>
      <c r="HP340" s="1708"/>
      <c r="HQ340" s="1708"/>
      <c r="HR340" s="1708"/>
      <c r="HS340" s="1708"/>
      <c r="HT340" s="1708"/>
      <c r="HU340" s="1708"/>
      <c r="HV340" s="1708"/>
      <c r="HW340" s="1708"/>
      <c r="HX340" s="1708"/>
      <c r="HY340" s="1708"/>
      <c r="HZ340" s="1708"/>
      <c r="IA340" s="1708"/>
      <c r="IB340" s="1708"/>
      <c r="IC340" s="1708"/>
      <c r="ID340" s="1708"/>
      <c r="IE340" s="1708"/>
      <c r="IF340" s="1708"/>
      <c r="IG340" s="1708"/>
      <c r="IH340" s="1708"/>
      <c r="II340" s="1708"/>
      <c r="IJ340" s="1708"/>
      <c r="IK340" s="1708"/>
      <c r="IL340" s="1708"/>
      <c r="IM340" s="1708"/>
      <c r="IN340" s="1708"/>
      <c r="IO340" s="1708"/>
      <c r="IP340" s="1708"/>
      <c r="IQ340" s="1708"/>
      <c r="IR340" s="1708"/>
      <c r="IS340" s="1708"/>
      <c r="IT340" s="1708"/>
      <c r="IU340" s="1708"/>
      <c r="IV340" s="1708"/>
    </row>
    <row r="341" spans="2:256" s="57" customFormat="1" x14ac:dyDescent="0.25">
      <c r="B341" s="1836"/>
      <c r="G341" s="1849"/>
      <c r="J341" s="1850"/>
      <c r="K341" s="1850"/>
      <c r="S341" s="1708"/>
      <c r="T341" s="1708"/>
      <c r="U341" s="1708"/>
      <c r="V341" s="1708"/>
      <c r="W341" s="1708"/>
      <c r="X341" s="1708"/>
      <c r="Y341" s="1708"/>
      <c r="Z341" s="1708"/>
      <c r="AA341" s="1708"/>
      <c r="AB341" s="1708"/>
      <c r="AC341" s="1708"/>
      <c r="AD341" s="1708"/>
      <c r="AE341" s="1708"/>
      <c r="AF341" s="1708"/>
      <c r="AG341" s="1708"/>
      <c r="AH341" s="1708"/>
      <c r="AI341" s="1708"/>
      <c r="AJ341" s="1708"/>
      <c r="AK341" s="1708"/>
      <c r="AL341" s="1708"/>
      <c r="AM341" s="1708"/>
      <c r="AN341" s="1708"/>
      <c r="AO341" s="1708"/>
      <c r="AP341" s="1708"/>
      <c r="AQ341" s="1708"/>
      <c r="AR341" s="1708"/>
      <c r="AS341" s="1708"/>
      <c r="AT341" s="1708"/>
      <c r="AU341" s="1708"/>
      <c r="AV341" s="1708"/>
      <c r="AW341" s="1708"/>
      <c r="AX341" s="1708"/>
      <c r="AY341" s="1708"/>
      <c r="AZ341" s="1708"/>
      <c r="BA341" s="1708"/>
      <c r="BB341" s="1708"/>
      <c r="BC341" s="1708"/>
      <c r="BD341" s="1708"/>
      <c r="BE341" s="1708"/>
      <c r="BF341" s="1708"/>
      <c r="BG341" s="1708"/>
      <c r="BH341" s="1708"/>
      <c r="BI341" s="1708"/>
      <c r="BJ341" s="1708"/>
      <c r="BK341" s="1708"/>
      <c r="BL341" s="1708"/>
      <c r="BM341" s="1708"/>
      <c r="BN341" s="1708"/>
      <c r="BO341" s="1708"/>
      <c r="BP341" s="1708"/>
      <c r="BQ341" s="1708"/>
      <c r="BR341" s="1708"/>
      <c r="BS341" s="1708"/>
      <c r="BT341" s="1708"/>
      <c r="BU341" s="1708"/>
      <c r="BV341" s="1708"/>
      <c r="BW341" s="1708"/>
      <c r="BX341" s="1708"/>
      <c r="BY341" s="1708"/>
      <c r="BZ341" s="1708"/>
      <c r="CA341" s="1708"/>
      <c r="CB341" s="1708"/>
      <c r="CC341" s="1708"/>
      <c r="CD341" s="1708"/>
      <c r="CE341" s="1708"/>
      <c r="CF341" s="1708"/>
      <c r="CG341" s="1708"/>
      <c r="CH341" s="1708"/>
      <c r="CI341" s="1708"/>
      <c r="CJ341" s="1708"/>
      <c r="CK341" s="1708"/>
      <c r="CL341" s="1708"/>
      <c r="CM341" s="1708"/>
      <c r="CN341" s="1708"/>
      <c r="CO341" s="1708"/>
      <c r="CP341" s="1708"/>
      <c r="CQ341" s="1708"/>
      <c r="CR341" s="1708"/>
      <c r="CS341" s="1708"/>
      <c r="CT341" s="1708"/>
      <c r="CU341" s="1708"/>
      <c r="CV341" s="1708"/>
      <c r="CW341" s="1708"/>
      <c r="CX341" s="1708"/>
      <c r="CY341" s="1708"/>
      <c r="CZ341" s="1708"/>
      <c r="DA341" s="1708"/>
      <c r="DB341" s="1708"/>
      <c r="DC341" s="1708"/>
      <c r="DD341" s="1708"/>
      <c r="DE341" s="1708"/>
      <c r="DF341" s="1708"/>
      <c r="DG341" s="1708"/>
      <c r="DH341" s="1708"/>
      <c r="DI341" s="1708"/>
      <c r="DJ341" s="1708"/>
      <c r="DK341" s="1708"/>
      <c r="DL341" s="1708"/>
      <c r="DM341" s="1708"/>
      <c r="DN341" s="1708"/>
      <c r="DO341" s="1708"/>
      <c r="DP341" s="1708"/>
      <c r="DQ341" s="1708"/>
      <c r="DR341" s="1708"/>
      <c r="DS341" s="1708"/>
      <c r="DT341" s="1708"/>
      <c r="DU341" s="1708"/>
      <c r="DV341" s="1708"/>
      <c r="DW341" s="1708"/>
      <c r="DX341" s="1708"/>
      <c r="DY341" s="1708"/>
      <c r="DZ341" s="1708"/>
      <c r="EA341" s="1708"/>
      <c r="EB341" s="1708"/>
      <c r="EC341" s="1708"/>
      <c r="ED341" s="1708"/>
      <c r="EE341" s="1708"/>
      <c r="EF341" s="1708"/>
      <c r="EG341" s="1708"/>
      <c r="EH341" s="1708"/>
      <c r="EI341" s="1708"/>
      <c r="EJ341" s="1708"/>
      <c r="EK341" s="1708"/>
      <c r="EL341" s="1708"/>
      <c r="EM341" s="1708"/>
      <c r="EN341" s="1708"/>
      <c r="EO341" s="1708"/>
      <c r="EP341" s="1708"/>
      <c r="EQ341" s="1708"/>
      <c r="ER341" s="1708"/>
      <c r="ES341" s="1708"/>
      <c r="ET341" s="1708"/>
      <c r="EU341" s="1708"/>
      <c r="EV341" s="1708"/>
      <c r="EW341" s="1708"/>
      <c r="EX341" s="1708"/>
      <c r="EY341" s="1708"/>
      <c r="EZ341" s="1708"/>
      <c r="FA341" s="1708"/>
      <c r="FB341" s="1708"/>
      <c r="FC341" s="1708"/>
      <c r="FD341" s="1708"/>
      <c r="FE341" s="1708"/>
      <c r="FF341" s="1708"/>
      <c r="FG341" s="1708"/>
      <c r="FH341" s="1708"/>
      <c r="FI341" s="1708"/>
      <c r="FJ341" s="1708"/>
      <c r="FK341" s="1708"/>
      <c r="FL341" s="1708"/>
      <c r="FM341" s="1708"/>
      <c r="FN341" s="1708"/>
      <c r="FO341" s="1708"/>
      <c r="FP341" s="1708"/>
      <c r="FQ341" s="1708"/>
      <c r="FR341" s="1708"/>
      <c r="FS341" s="1708"/>
      <c r="FT341" s="1708"/>
      <c r="FU341" s="1708"/>
      <c r="FV341" s="1708"/>
      <c r="FW341" s="1708"/>
      <c r="FX341" s="1708"/>
      <c r="FY341" s="1708"/>
      <c r="FZ341" s="1708"/>
      <c r="GA341" s="1708"/>
      <c r="GB341" s="1708"/>
      <c r="GC341" s="1708"/>
      <c r="GD341" s="1708"/>
      <c r="GE341" s="1708"/>
      <c r="GF341" s="1708"/>
      <c r="GG341" s="1708"/>
      <c r="GH341" s="1708"/>
      <c r="GI341" s="1708"/>
      <c r="GJ341" s="1708"/>
      <c r="GK341" s="1708"/>
      <c r="GL341" s="1708"/>
      <c r="GM341" s="1708"/>
      <c r="GN341" s="1708"/>
      <c r="GO341" s="1708"/>
      <c r="GP341" s="1708"/>
      <c r="GQ341" s="1708"/>
      <c r="GR341" s="1708"/>
      <c r="GS341" s="1708"/>
      <c r="GT341" s="1708"/>
      <c r="GU341" s="1708"/>
      <c r="GV341" s="1708"/>
      <c r="GW341" s="1708"/>
      <c r="GX341" s="1708"/>
      <c r="GY341" s="1708"/>
      <c r="GZ341" s="1708"/>
      <c r="HA341" s="1708"/>
      <c r="HB341" s="1708"/>
      <c r="HC341" s="1708"/>
      <c r="HD341" s="1708"/>
      <c r="HE341" s="1708"/>
      <c r="HF341" s="1708"/>
      <c r="HG341" s="1708"/>
      <c r="HH341" s="1708"/>
      <c r="HI341" s="1708"/>
      <c r="HJ341" s="1708"/>
      <c r="HK341" s="1708"/>
      <c r="HL341" s="1708"/>
      <c r="HM341" s="1708"/>
      <c r="HN341" s="1708"/>
      <c r="HO341" s="1708"/>
      <c r="HP341" s="1708"/>
      <c r="HQ341" s="1708"/>
      <c r="HR341" s="1708"/>
      <c r="HS341" s="1708"/>
      <c r="HT341" s="1708"/>
      <c r="HU341" s="1708"/>
      <c r="HV341" s="1708"/>
      <c r="HW341" s="1708"/>
      <c r="HX341" s="1708"/>
      <c r="HY341" s="1708"/>
      <c r="HZ341" s="1708"/>
      <c r="IA341" s="1708"/>
      <c r="IB341" s="1708"/>
      <c r="IC341" s="1708"/>
      <c r="ID341" s="1708"/>
      <c r="IE341" s="1708"/>
      <c r="IF341" s="1708"/>
      <c r="IG341" s="1708"/>
      <c r="IH341" s="1708"/>
      <c r="II341" s="1708"/>
      <c r="IJ341" s="1708"/>
      <c r="IK341" s="1708"/>
      <c r="IL341" s="1708"/>
      <c r="IM341" s="1708"/>
      <c r="IN341" s="1708"/>
      <c r="IO341" s="1708"/>
      <c r="IP341" s="1708"/>
      <c r="IQ341" s="1708"/>
      <c r="IR341" s="1708"/>
      <c r="IS341" s="1708"/>
      <c r="IT341" s="1708"/>
      <c r="IU341" s="1708"/>
      <c r="IV341" s="1708"/>
    </row>
    <row r="342" spans="2:256" s="57" customFormat="1" x14ac:dyDescent="0.25">
      <c r="B342" s="1836"/>
      <c r="G342" s="1849"/>
      <c r="J342" s="1850"/>
      <c r="K342" s="1850"/>
      <c r="S342" s="1708"/>
      <c r="T342" s="1708"/>
      <c r="U342" s="1708"/>
      <c r="V342" s="1708"/>
      <c r="W342" s="1708"/>
      <c r="X342" s="1708"/>
      <c r="Y342" s="1708"/>
      <c r="Z342" s="1708"/>
      <c r="AA342" s="1708"/>
      <c r="AB342" s="1708"/>
      <c r="AC342" s="1708"/>
      <c r="AD342" s="1708"/>
      <c r="AE342" s="1708"/>
      <c r="AF342" s="1708"/>
      <c r="AG342" s="1708"/>
      <c r="AH342" s="1708"/>
      <c r="AI342" s="1708"/>
      <c r="AJ342" s="1708"/>
      <c r="AK342" s="1708"/>
      <c r="AL342" s="1708"/>
      <c r="AM342" s="1708"/>
      <c r="AN342" s="1708"/>
      <c r="AO342" s="1708"/>
      <c r="AP342" s="1708"/>
      <c r="AQ342" s="1708"/>
      <c r="AR342" s="1708"/>
      <c r="AS342" s="1708"/>
      <c r="AT342" s="1708"/>
      <c r="AU342" s="1708"/>
      <c r="AV342" s="1708"/>
      <c r="AW342" s="1708"/>
      <c r="AX342" s="1708"/>
      <c r="AY342" s="1708"/>
      <c r="AZ342" s="1708"/>
      <c r="BA342" s="1708"/>
      <c r="BB342" s="1708"/>
      <c r="BC342" s="1708"/>
      <c r="BD342" s="1708"/>
      <c r="BE342" s="1708"/>
      <c r="BF342" s="1708"/>
      <c r="BG342" s="1708"/>
      <c r="BH342" s="1708"/>
      <c r="BI342" s="1708"/>
      <c r="BJ342" s="1708"/>
      <c r="BK342" s="1708"/>
      <c r="BL342" s="1708"/>
      <c r="BM342" s="1708"/>
      <c r="BN342" s="1708"/>
      <c r="BO342" s="1708"/>
      <c r="BP342" s="1708"/>
      <c r="BQ342" s="1708"/>
      <c r="BR342" s="1708"/>
      <c r="BS342" s="1708"/>
      <c r="BT342" s="1708"/>
      <c r="BU342" s="1708"/>
      <c r="BV342" s="1708"/>
      <c r="BW342" s="1708"/>
      <c r="BX342" s="1708"/>
      <c r="BY342" s="1708"/>
      <c r="BZ342" s="1708"/>
      <c r="CA342" s="1708"/>
      <c r="CB342" s="1708"/>
      <c r="CC342" s="1708"/>
      <c r="CD342" s="1708"/>
      <c r="CE342" s="1708"/>
      <c r="CF342" s="1708"/>
      <c r="CG342" s="1708"/>
      <c r="CH342" s="1708"/>
      <c r="CI342" s="1708"/>
      <c r="CJ342" s="1708"/>
      <c r="CK342" s="1708"/>
      <c r="CL342" s="1708"/>
      <c r="CM342" s="1708"/>
      <c r="CN342" s="1708"/>
      <c r="CO342" s="1708"/>
      <c r="CP342" s="1708"/>
      <c r="CQ342" s="1708"/>
      <c r="CR342" s="1708"/>
      <c r="CS342" s="1708"/>
      <c r="CT342" s="1708"/>
      <c r="CU342" s="1708"/>
      <c r="CV342" s="1708"/>
      <c r="CW342" s="1708"/>
      <c r="CX342" s="1708"/>
      <c r="CY342" s="1708"/>
      <c r="CZ342" s="1708"/>
      <c r="DA342" s="1708"/>
      <c r="DB342" s="1708"/>
      <c r="DC342" s="1708"/>
      <c r="DD342" s="1708"/>
      <c r="DE342" s="1708"/>
      <c r="DF342" s="1708"/>
      <c r="DG342" s="1708"/>
      <c r="DH342" s="1708"/>
      <c r="DI342" s="1708"/>
      <c r="DJ342" s="1708"/>
      <c r="DK342" s="1708"/>
      <c r="DL342" s="1708"/>
      <c r="DM342" s="1708"/>
      <c r="DN342" s="1708"/>
      <c r="DO342" s="1708"/>
      <c r="DP342" s="1708"/>
      <c r="DQ342" s="1708"/>
      <c r="DR342" s="1708"/>
      <c r="DS342" s="1708"/>
      <c r="DT342" s="1708"/>
      <c r="DU342" s="1708"/>
      <c r="DV342" s="1708"/>
      <c r="DW342" s="1708"/>
      <c r="DX342" s="1708"/>
      <c r="DY342" s="1708"/>
      <c r="DZ342" s="1708"/>
      <c r="EA342" s="1708"/>
      <c r="EB342" s="1708"/>
      <c r="EC342" s="1708"/>
      <c r="ED342" s="1708"/>
      <c r="EE342" s="1708"/>
      <c r="EF342" s="1708"/>
      <c r="EG342" s="1708"/>
      <c r="EH342" s="1708"/>
      <c r="EI342" s="1708"/>
      <c r="EJ342" s="1708"/>
      <c r="EK342" s="1708"/>
      <c r="EL342" s="1708"/>
      <c r="EM342" s="1708"/>
      <c r="EN342" s="1708"/>
      <c r="EO342" s="1708"/>
      <c r="EP342" s="1708"/>
      <c r="EQ342" s="1708"/>
      <c r="ER342" s="1708"/>
      <c r="ES342" s="1708"/>
      <c r="ET342" s="1708"/>
      <c r="EU342" s="1708"/>
      <c r="EV342" s="1708"/>
      <c r="EW342" s="1708"/>
      <c r="EX342" s="1708"/>
      <c r="EY342" s="1708"/>
      <c r="EZ342" s="1708"/>
      <c r="FA342" s="1708"/>
      <c r="FB342" s="1708"/>
      <c r="FC342" s="1708"/>
      <c r="FD342" s="1708"/>
      <c r="FE342" s="1708"/>
      <c r="FF342" s="1708"/>
      <c r="FG342" s="1708"/>
      <c r="FH342" s="1708"/>
      <c r="FI342" s="1708"/>
      <c r="FJ342" s="1708"/>
      <c r="FK342" s="1708"/>
      <c r="FL342" s="1708"/>
      <c r="FM342" s="1708"/>
      <c r="FN342" s="1708"/>
      <c r="FO342" s="1708"/>
      <c r="FP342" s="1708"/>
      <c r="FQ342" s="1708"/>
      <c r="FR342" s="1708"/>
      <c r="FS342" s="1708"/>
      <c r="FT342" s="1708"/>
      <c r="FU342" s="1708"/>
      <c r="FV342" s="1708"/>
      <c r="FW342" s="1708"/>
      <c r="FX342" s="1708"/>
      <c r="FY342" s="1708"/>
      <c r="FZ342" s="1708"/>
      <c r="GA342" s="1708"/>
      <c r="GB342" s="1708"/>
      <c r="GC342" s="1708"/>
      <c r="GD342" s="1708"/>
      <c r="GE342" s="1708"/>
      <c r="GF342" s="1708"/>
      <c r="GG342" s="1708"/>
      <c r="GH342" s="1708"/>
      <c r="GI342" s="1708"/>
      <c r="GJ342" s="1708"/>
      <c r="GK342" s="1708"/>
      <c r="GL342" s="1708"/>
      <c r="GM342" s="1708"/>
      <c r="GN342" s="1708"/>
      <c r="GO342" s="1708"/>
      <c r="GP342" s="1708"/>
      <c r="GQ342" s="1708"/>
      <c r="GR342" s="1708"/>
      <c r="GS342" s="1708"/>
      <c r="GT342" s="1708"/>
      <c r="GU342" s="1708"/>
      <c r="GV342" s="1708"/>
      <c r="GW342" s="1708"/>
      <c r="GX342" s="1708"/>
      <c r="GY342" s="1708"/>
      <c r="GZ342" s="1708"/>
      <c r="HA342" s="1708"/>
      <c r="HB342" s="1708"/>
      <c r="HC342" s="1708"/>
      <c r="HD342" s="1708"/>
      <c r="HE342" s="1708"/>
      <c r="HF342" s="1708"/>
      <c r="HG342" s="1708"/>
      <c r="HH342" s="1708"/>
      <c r="HI342" s="1708"/>
      <c r="HJ342" s="1708"/>
      <c r="HK342" s="1708"/>
      <c r="HL342" s="1708"/>
      <c r="HM342" s="1708"/>
      <c r="HN342" s="1708"/>
      <c r="HO342" s="1708"/>
      <c r="HP342" s="1708"/>
      <c r="HQ342" s="1708"/>
      <c r="HR342" s="1708"/>
      <c r="HS342" s="1708"/>
      <c r="HT342" s="1708"/>
      <c r="HU342" s="1708"/>
      <c r="HV342" s="1708"/>
      <c r="HW342" s="1708"/>
      <c r="HX342" s="1708"/>
      <c r="HY342" s="1708"/>
      <c r="HZ342" s="1708"/>
      <c r="IA342" s="1708"/>
      <c r="IB342" s="1708"/>
      <c r="IC342" s="1708"/>
      <c r="ID342" s="1708"/>
      <c r="IE342" s="1708"/>
      <c r="IF342" s="1708"/>
      <c r="IG342" s="1708"/>
      <c r="IH342" s="1708"/>
      <c r="II342" s="1708"/>
      <c r="IJ342" s="1708"/>
      <c r="IK342" s="1708"/>
      <c r="IL342" s="1708"/>
      <c r="IM342" s="1708"/>
      <c r="IN342" s="1708"/>
      <c r="IO342" s="1708"/>
      <c r="IP342" s="1708"/>
      <c r="IQ342" s="1708"/>
      <c r="IR342" s="1708"/>
      <c r="IS342" s="1708"/>
      <c r="IT342" s="1708"/>
      <c r="IU342" s="1708"/>
      <c r="IV342" s="1708"/>
    </row>
    <row r="343" spans="2:256" s="57" customFormat="1" x14ac:dyDescent="0.25">
      <c r="B343" s="1836"/>
      <c r="G343" s="1849"/>
      <c r="J343" s="1850"/>
      <c r="K343" s="1850"/>
      <c r="S343" s="1708"/>
      <c r="T343" s="1708"/>
      <c r="U343" s="1708"/>
      <c r="V343" s="1708"/>
      <c r="W343" s="1708"/>
      <c r="X343" s="1708"/>
      <c r="Y343" s="1708"/>
      <c r="Z343" s="1708"/>
      <c r="AA343" s="1708"/>
      <c r="AB343" s="1708"/>
      <c r="AC343" s="1708"/>
      <c r="AD343" s="1708"/>
      <c r="AE343" s="1708"/>
      <c r="AF343" s="1708"/>
      <c r="AG343" s="1708"/>
      <c r="AH343" s="1708"/>
      <c r="AI343" s="1708"/>
      <c r="AJ343" s="1708"/>
      <c r="AK343" s="1708"/>
      <c r="AL343" s="1708"/>
      <c r="AM343" s="1708"/>
      <c r="AN343" s="1708"/>
      <c r="AO343" s="1708"/>
      <c r="AP343" s="1708"/>
      <c r="AQ343" s="1708"/>
      <c r="AR343" s="1708"/>
      <c r="AS343" s="1708"/>
      <c r="AT343" s="1708"/>
      <c r="AU343" s="1708"/>
      <c r="AV343" s="1708"/>
      <c r="AW343" s="1708"/>
      <c r="AX343" s="1708"/>
      <c r="AY343" s="1708"/>
      <c r="AZ343" s="1708"/>
      <c r="BA343" s="1708"/>
      <c r="BB343" s="1708"/>
      <c r="BC343" s="1708"/>
      <c r="BD343" s="1708"/>
      <c r="BE343" s="1708"/>
      <c r="BF343" s="1708"/>
      <c r="BG343" s="1708"/>
      <c r="BH343" s="1708"/>
      <c r="BI343" s="1708"/>
      <c r="BJ343" s="1708"/>
      <c r="BK343" s="1708"/>
      <c r="BL343" s="1708"/>
      <c r="BM343" s="1708"/>
      <c r="BN343" s="1708"/>
      <c r="BO343" s="1708"/>
      <c r="BP343" s="1708"/>
      <c r="BQ343" s="1708"/>
      <c r="BR343" s="1708"/>
      <c r="BS343" s="1708"/>
      <c r="BT343" s="1708"/>
      <c r="BU343" s="1708"/>
      <c r="BV343" s="1708"/>
      <c r="BW343" s="1708"/>
      <c r="BX343" s="1708"/>
      <c r="BY343" s="1708"/>
      <c r="BZ343" s="1708"/>
      <c r="CA343" s="1708"/>
      <c r="CB343" s="1708"/>
      <c r="CC343" s="1708"/>
      <c r="CD343" s="1708"/>
      <c r="CE343" s="1708"/>
      <c r="CF343" s="1708"/>
      <c r="CG343" s="1708"/>
      <c r="CH343" s="1708"/>
      <c r="CI343" s="1708"/>
      <c r="CJ343" s="1708"/>
      <c r="CK343" s="1708"/>
      <c r="CL343" s="1708"/>
      <c r="CM343" s="1708"/>
      <c r="CN343" s="1708"/>
      <c r="CO343" s="1708"/>
      <c r="CP343" s="1708"/>
      <c r="CQ343" s="1708"/>
      <c r="CR343" s="1708"/>
      <c r="CS343" s="1708"/>
      <c r="CT343" s="1708"/>
      <c r="CU343" s="1708"/>
      <c r="CV343" s="1708"/>
      <c r="CW343" s="1708"/>
      <c r="CX343" s="1708"/>
      <c r="CY343" s="1708"/>
      <c r="CZ343" s="1708"/>
      <c r="DA343" s="1708"/>
      <c r="DB343" s="1708"/>
      <c r="DC343" s="1708"/>
      <c r="DD343" s="1708"/>
      <c r="DE343" s="1708"/>
      <c r="DF343" s="1708"/>
      <c r="DG343" s="1708"/>
      <c r="DH343" s="1708"/>
      <c r="DI343" s="1708"/>
      <c r="DJ343" s="1708"/>
      <c r="DK343" s="1708"/>
      <c r="DL343" s="1708"/>
      <c r="DM343" s="1708"/>
      <c r="DN343" s="1708"/>
      <c r="DO343" s="1708"/>
      <c r="DP343" s="1708"/>
      <c r="DQ343" s="1708"/>
      <c r="DR343" s="1708"/>
      <c r="DS343" s="1708"/>
      <c r="DT343" s="1708"/>
      <c r="DU343" s="1708"/>
      <c r="DV343" s="1708"/>
      <c r="DW343" s="1708"/>
      <c r="DX343" s="1708"/>
      <c r="DY343" s="1708"/>
      <c r="DZ343" s="1708"/>
      <c r="EA343" s="1708"/>
      <c r="EB343" s="1708"/>
      <c r="EC343" s="1708"/>
      <c r="ED343" s="1708"/>
      <c r="EE343" s="1708"/>
      <c r="EF343" s="1708"/>
      <c r="EG343" s="1708"/>
      <c r="EH343" s="1708"/>
      <c r="EI343" s="1708"/>
      <c r="EJ343" s="1708"/>
      <c r="EK343" s="1708"/>
      <c r="EL343" s="1708"/>
      <c r="EM343" s="1708"/>
      <c r="EN343" s="1708"/>
      <c r="EO343" s="1708"/>
      <c r="EP343" s="1708"/>
      <c r="EQ343" s="1708"/>
      <c r="ER343" s="1708"/>
      <c r="ES343" s="1708"/>
      <c r="ET343" s="1708"/>
      <c r="EU343" s="1708"/>
      <c r="EV343" s="1708"/>
      <c r="EW343" s="1708"/>
      <c r="EX343" s="1708"/>
      <c r="EY343" s="1708"/>
      <c r="EZ343" s="1708"/>
      <c r="FA343" s="1708"/>
      <c r="FB343" s="1708"/>
      <c r="FC343" s="1708"/>
      <c r="FD343" s="1708"/>
      <c r="FE343" s="1708"/>
      <c r="FF343" s="1708"/>
      <c r="FG343" s="1708"/>
      <c r="FH343" s="1708"/>
      <c r="FI343" s="1708"/>
      <c r="FJ343" s="1708"/>
      <c r="FK343" s="1708"/>
      <c r="FL343" s="1708"/>
      <c r="FM343" s="1708"/>
      <c r="FN343" s="1708"/>
      <c r="FO343" s="1708"/>
      <c r="FP343" s="1708"/>
      <c r="FQ343" s="1708"/>
      <c r="FR343" s="1708"/>
      <c r="FS343" s="1708"/>
      <c r="FT343" s="1708"/>
      <c r="FU343" s="1708"/>
      <c r="FV343" s="1708"/>
      <c r="FW343" s="1708"/>
      <c r="FX343" s="1708"/>
      <c r="FY343" s="1708"/>
      <c r="FZ343" s="1708"/>
      <c r="GA343" s="1708"/>
      <c r="GB343" s="1708"/>
      <c r="GC343" s="1708"/>
      <c r="GD343" s="1708"/>
      <c r="GE343" s="1708"/>
      <c r="GF343" s="1708"/>
      <c r="GG343" s="1708"/>
      <c r="GH343" s="1708"/>
      <c r="GI343" s="1708"/>
      <c r="GJ343" s="1708"/>
      <c r="GK343" s="1708"/>
      <c r="GL343" s="1708"/>
      <c r="GM343" s="1708"/>
      <c r="GN343" s="1708"/>
      <c r="GO343" s="1708"/>
      <c r="GP343" s="1708"/>
      <c r="GQ343" s="1708"/>
      <c r="GR343" s="1708"/>
      <c r="GS343" s="1708"/>
      <c r="GT343" s="1708"/>
      <c r="GU343" s="1708"/>
      <c r="GV343" s="1708"/>
      <c r="GW343" s="1708"/>
      <c r="GX343" s="1708"/>
      <c r="GY343" s="1708"/>
      <c r="GZ343" s="1708"/>
      <c r="HA343" s="1708"/>
      <c r="HB343" s="1708"/>
      <c r="HC343" s="1708"/>
      <c r="HD343" s="1708"/>
      <c r="HE343" s="1708"/>
      <c r="HF343" s="1708"/>
      <c r="HG343" s="1708"/>
      <c r="HH343" s="1708"/>
      <c r="HI343" s="1708"/>
      <c r="HJ343" s="1708"/>
      <c r="HK343" s="1708"/>
      <c r="HL343" s="1708"/>
      <c r="HM343" s="1708"/>
      <c r="HN343" s="1708"/>
      <c r="HO343" s="1708"/>
      <c r="HP343" s="1708"/>
      <c r="HQ343" s="1708"/>
      <c r="HR343" s="1708"/>
      <c r="HS343" s="1708"/>
      <c r="HT343" s="1708"/>
      <c r="HU343" s="1708"/>
      <c r="HV343" s="1708"/>
      <c r="HW343" s="1708"/>
      <c r="HX343" s="1708"/>
      <c r="HY343" s="1708"/>
      <c r="HZ343" s="1708"/>
      <c r="IA343" s="1708"/>
      <c r="IB343" s="1708"/>
      <c r="IC343" s="1708"/>
      <c r="ID343" s="1708"/>
      <c r="IE343" s="1708"/>
      <c r="IF343" s="1708"/>
      <c r="IG343" s="1708"/>
      <c r="IH343" s="1708"/>
      <c r="II343" s="1708"/>
      <c r="IJ343" s="1708"/>
      <c r="IK343" s="1708"/>
      <c r="IL343" s="1708"/>
      <c r="IM343" s="1708"/>
      <c r="IN343" s="1708"/>
      <c r="IO343" s="1708"/>
      <c r="IP343" s="1708"/>
      <c r="IQ343" s="1708"/>
      <c r="IR343" s="1708"/>
      <c r="IS343" s="1708"/>
      <c r="IT343" s="1708"/>
      <c r="IU343" s="1708"/>
      <c r="IV343" s="1708"/>
    </row>
    <row r="344" spans="2:256" s="57" customFormat="1" x14ac:dyDescent="0.25">
      <c r="B344" s="1836"/>
      <c r="G344" s="1849"/>
      <c r="J344" s="1850"/>
      <c r="K344" s="1850"/>
      <c r="S344" s="1708"/>
      <c r="T344" s="1708"/>
      <c r="U344" s="1708"/>
      <c r="V344" s="1708"/>
      <c r="W344" s="1708"/>
      <c r="X344" s="1708"/>
      <c r="Y344" s="1708"/>
      <c r="Z344" s="1708"/>
      <c r="AA344" s="1708"/>
      <c r="AB344" s="1708"/>
      <c r="AC344" s="1708"/>
      <c r="AD344" s="1708"/>
      <c r="AE344" s="1708"/>
      <c r="AF344" s="1708"/>
      <c r="AG344" s="1708"/>
      <c r="AH344" s="1708"/>
      <c r="AI344" s="1708"/>
      <c r="AJ344" s="1708"/>
      <c r="AK344" s="1708"/>
      <c r="AL344" s="1708"/>
      <c r="AM344" s="1708"/>
      <c r="AN344" s="1708"/>
      <c r="AO344" s="1708"/>
      <c r="AP344" s="1708"/>
      <c r="AQ344" s="1708"/>
      <c r="AR344" s="1708"/>
      <c r="AS344" s="1708"/>
      <c r="AT344" s="1708"/>
      <c r="AU344" s="1708"/>
      <c r="AV344" s="1708"/>
      <c r="AW344" s="1708"/>
      <c r="AX344" s="1708"/>
      <c r="AY344" s="1708"/>
      <c r="AZ344" s="1708"/>
      <c r="BA344" s="1708"/>
      <c r="BB344" s="1708"/>
      <c r="BC344" s="1708"/>
      <c r="BD344" s="1708"/>
      <c r="BE344" s="1708"/>
      <c r="BF344" s="1708"/>
      <c r="BG344" s="1708"/>
      <c r="BH344" s="1708"/>
      <c r="BI344" s="1708"/>
      <c r="BJ344" s="1708"/>
      <c r="BK344" s="1708"/>
      <c r="BL344" s="1708"/>
      <c r="BM344" s="1708"/>
      <c r="BN344" s="1708"/>
      <c r="BO344" s="1708"/>
      <c r="BP344" s="1708"/>
      <c r="BQ344" s="1708"/>
      <c r="BR344" s="1708"/>
      <c r="BS344" s="1708"/>
      <c r="BT344" s="1708"/>
      <c r="BU344" s="1708"/>
      <c r="BV344" s="1708"/>
      <c r="BW344" s="1708"/>
      <c r="BX344" s="1708"/>
      <c r="BY344" s="1708"/>
      <c r="BZ344" s="1708"/>
      <c r="CA344" s="1708"/>
      <c r="CB344" s="1708"/>
      <c r="CC344" s="1708"/>
      <c r="CD344" s="1708"/>
      <c r="CE344" s="1708"/>
      <c r="CF344" s="1708"/>
      <c r="CG344" s="1708"/>
      <c r="CH344" s="1708"/>
      <c r="CI344" s="1708"/>
      <c r="CJ344" s="1708"/>
      <c r="CK344" s="1708"/>
      <c r="CL344" s="1708"/>
      <c r="CM344" s="1708"/>
      <c r="CN344" s="1708"/>
      <c r="CO344" s="1708"/>
      <c r="CP344" s="1708"/>
      <c r="CQ344" s="1708"/>
      <c r="CR344" s="1708"/>
      <c r="CS344" s="1708"/>
      <c r="CT344" s="1708"/>
      <c r="CU344" s="1708"/>
      <c r="CV344" s="1708"/>
      <c r="CW344" s="1708"/>
      <c r="CX344" s="1708"/>
      <c r="CY344" s="1708"/>
      <c r="CZ344" s="1708"/>
      <c r="DA344" s="1708"/>
      <c r="DB344" s="1708"/>
      <c r="DC344" s="1708"/>
      <c r="DD344" s="1708"/>
      <c r="DE344" s="1708"/>
      <c r="DF344" s="1708"/>
      <c r="DG344" s="1708"/>
      <c r="DH344" s="1708"/>
      <c r="DI344" s="1708"/>
      <c r="DJ344" s="1708"/>
      <c r="DK344" s="1708"/>
      <c r="DL344" s="1708"/>
      <c r="DM344" s="1708"/>
      <c r="DN344" s="1708"/>
      <c r="DO344" s="1708"/>
      <c r="DP344" s="1708"/>
      <c r="DQ344" s="1708"/>
      <c r="DR344" s="1708"/>
      <c r="DS344" s="1708"/>
      <c r="DT344" s="1708"/>
      <c r="DU344" s="1708"/>
      <c r="DV344" s="1708"/>
      <c r="DW344" s="1708"/>
      <c r="DX344" s="1708"/>
      <c r="DY344" s="1708"/>
      <c r="DZ344" s="1708"/>
      <c r="EA344" s="1708"/>
      <c r="EB344" s="1708"/>
      <c r="EC344" s="1708"/>
      <c r="ED344" s="1708"/>
      <c r="EE344" s="1708"/>
      <c r="EF344" s="1708"/>
      <c r="EG344" s="1708"/>
      <c r="EH344" s="1708"/>
      <c r="EI344" s="1708"/>
      <c r="EJ344" s="1708"/>
      <c r="EK344" s="1708"/>
      <c r="EL344" s="1708"/>
      <c r="EM344" s="1708"/>
      <c r="EN344" s="1708"/>
      <c r="EO344" s="1708"/>
      <c r="EP344" s="1708"/>
      <c r="EQ344" s="1708"/>
      <c r="ER344" s="1708"/>
      <c r="ES344" s="1708"/>
      <c r="ET344" s="1708"/>
      <c r="EU344" s="1708"/>
      <c r="EV344" s="1708"/>
      <c r="EW344" s="1708"/>
      <c r="EX344" s="1708"/>
      <c r="EY344" s="1708"/>
      <c r="EZ344" s="1708"/>
      <c r="FA344" s="1708"/>
      <c r="FB344" s="1708"/>
      <c r="FC344" s="1708"/>
      <c r="FD344" s="1708"/>
      <c r="FE344" s="1708"/>
      <c r="FF344" s="1708"/>
      <c r="FG344" s="1708"/>
      <c r="FH344" s="1708"/>
      <c r="FI344" s="1708"/>
      <c r="FJ344" s="1708"/>
      <c r="FK344" s="1708"/>
      <c r="FL344" s="1708"/>
      <c r="FM344" s="1708"/>
      <c r="FN344" s="1708"/>
      <c r="FO344" s="1708"/>
      <c r="FP344" s="1708"/>
      <c r="FQ344" s="1708"/>
      <c r="FR344" s="1708"/>
      <c r="FS344" s="1708"/>
      <c r="FT344" s="1708"/>
      <c r="FU344" s="1708"/>
      <c r="FV344" s="1708"/>
      <c r="FW344" s="1708"/>
      <c r="FX344" s="1708"/>
      <c r="FY344" s="1708"/>
      <c r="FZ344" s="1708"/>
      <c r="GA344" s="1708"/>
      <c r="GB344" s="1708"/>
      <c r="GC344" s="1708"/>
      <c r="GD344" s="1708"/>
      <c r="GE344" s="1708"/>
      <c r="GF344" s="1708"/>
      <c r="GG344" s="1708"/>
      <c r="GH344" s="1708"/>
      <c r="GI344" s="1708"/>
      <c r="GJ344" s="1708"/>
      <c r="GK344" s="1708"/>
      <c r="GL344" s="1708"/>
      <c r="GM344" s="1708"/>
      <c r="GN344" s="1708"/>
      <c r="GO344" s="1708"/>
      <c r="GP344" s="1708"/>
      <c r="GQ344" s="1708"/>
      <c r="GR344" s="1708"/>
      <c r="GS344" s="1708"/>
      <c r="GT344" s="1708"/>
      <c r="GU344" s="1708"/>
      <c r="GV344" s="1708"/>
      <c r="GW344" s="1708"/>
      <c r="GX344" s="1708"/>
      <c r="GY344" s="1708"/>
      <c r="GZ344" s="1708"/>
      <c r="HA344" s="1708"/>
      <c r="HB344" s="1708"/>
      <c r="HC344" s="1708"/>
      <c r="HD344" s="1708"/>
      <c r="HE344" s="1708"/>
      <c r="HF344" s="1708"/>
      <c r="HG344" s="1708"/>
      <c r="HH344" s="1708"/>
      <c r="HI344" s="1708"/>
      <c r="HJ344" s="1708"/>
      <c r="HK344" s="1708"/>
      <c r="HL344" s="1708"/>
      <c r="HM344" s="1708"/>
      <c r="HN344" s="1708"/>
      <c r="HO344" s="1708"/>
      <c r="HP344" s="1708"/>
      <c r="HQ344" s="1708"/>
      <c r="HR344" s="1708"/>
      <c r="HS344" s="1708"/>
      <c r="HT344" s="1708"/>
      <c r="HU344" s="1708"/>
      <c r="HV344" s="1708"/>
      <c r="HW344" s="1708"/>
      <c r="HX344" s="1708"/>
      <c r="HY344" s="1708"/>
      <c r="HZ344" s="1708"/>
      <c r="IA344" s="1708"/>
      <c r="IB344" s="1708"/>
      <c r="IC344" s="1708"/>
      <c r="ID344" s="1708"/>
      <c r="IE344" s="1708"/>
      <c r="IF344" s="1708"/>
      <c r="IG344" s="1708"/>
      <c r="IH344" s="1708"/>
      <c r="II344" s="1708"/>
      <c r="IJ344" s="1708"/>
      <c r="IK344" s="1708"/>
      <c r="IL344" s="1708"/>
      <c r="IM344" s="1708"/>
      <c r="IN344" s="1708"/>
      <c r="IO344" s="1708"/>
      <c r="IP344" s="1708"/>
      <c r="IQ344" s="1708"/>
      <c r="IR344" s="1708"/>
      <c r="IS344" s="1708"/>
      <c r="IT344" s="1708"/>
      <c r="IU344" s="1708"/>
      <c r="IV344" s="1708"/>
    </row>
    <row r="345" spans="2:256" s="57" customFormat="1" x14ac:dyDescent="0.25">
      <c r="B345" s="1836"/>
      <c r="G345" s="1849"/>
      <c r="J345" s="1850"/>
      <c r="K345" s="1850"/>
      <c r="S345" s="1708"/>
      <c r="T345" s="1708"/>
      <c r="U345" s="1708"/>
      <c r="V345" s="1708"/>
      <c r="W345" s="1708"/>
      <c r="X345" s="1708"/>
      <c r="Y345" s="1708"/>
      <c r="Z345" s="1708"/>
      <c r="AA345" s="1708"/>
      <c r="AB345" s="1708"/>
      <c r="AC345" s="1708"/>
      <c r="AD345" s="1708"/>
      <c r="AE345" s="1708"/>
      <c r="AF345" s="1708"/>
      <c r="AG345" s="1708"/>
      <c r="AH345" s="1708"/>
      <c r="AI345" s="1708"/>
      <c r="AJ345" s="1708"/>
      <c r="AK345" s="1708"/>
      <c r="AL345" s="1708"/>
      <c r="AM345" s="1708"/>
      <c r="AN345" s="1708"/>
      <c r="AO345" s="1708"/>
      <c r="AP345" s="1708"/>
      <c r="AQ345" s="1708"/>
      <c r="AR345" s="1708"/>
      <c r="AS345" s="1708"/>
      <c r="AT345" s="1708"/>
      <c r="AU345" s="1708"/>
      <c r="AV345" s="1708"/>
      <c r="AW345" s="1708"/>
      <c r="AX345" s="1708"/>
      <c r="AY345" s="1708"/>
      <c r="AZ345" s="1708"/>
      <c r="BA345" s="1708"/>
      <c r="BB345" s="1708"/>
      <c r="BC345" s="1708"/>
      <c r="BD345" s="1708"/>
      <c r="BE345" s="1708"/>
      <c r="BF345" s="1708"/>
      <c r="BG345" s="1708"/>
      <c r="BH345" s="1708"/>
      <c r="BI345" s="1708"/>
      <c r="BJ345" s="1708"/>
      <c r="BK345" s="1708"/>
      <c r="BL345" s="1708"/>
      <c r="BM345" s="1708"/>
      <c r="BN345" s="1708"/>
      <c r="BO345" s="1708"/>
      <c r="BP345" s="1708"/>
      <c r="BQ345" s="1708"/>
      <c r="BR345" s="1708"/>
      <c r="BS345" s="1708"/>
      <c r="BT345" s="1708"/>
      <c r="BU345" s="1708"/>
      <c r="BV345" s="1708"/>
      <c r="BW345" s="1708"/>
      <c r="BX345" s="1708"/>
      <c r="BY345" s="1708"/>
      <c r="BZ345" s="1708"/>
      <c r="CA345" s="1708"/>
      <c r="CB345" s="1708"/>
      <c r="CC345" s="1708"/>
      <c r="CD345" s="1708"/>
      <c r="CE345" s="1708"/>
      <c r="CF345" s="1708"/>
      <c r="CG345" s="1708"/>
      <c r="CH345" s="1708"/>
      <c r="CI345" s="1708"/>
      <c r="CJ345" s="1708"/>
      <c r="CK345" s="1708"/>
      <c r="CL345" s="1708"/>
      <c r="CM345" s="1708"/>
      <c r="CN345" s="1708"/>
      <c r="CO345" s="1708"/>
      <c r="CP345" s="1708"/>
      <c r="CQ345" s="1708"/>
      <c r="CR345" s="1708"/>
      <c r="CS345" s="1708"/>
      <c r="CT345" s="1708"/>
      <c r="CU345" s="1708"/>
      <c r="CV345" s="1708"/>
      <c r="CW345" s="1708"/>
      <c r="CX345" s="1708"/>
      <c r="CY345" s="1708"/>
      <c r="CZ345" s="1708"/>
      <c r="DA345" s="1708"/>
      <c r="DB345" s="1708"/>
      <c r="DC345" s="1708"/>
      <c r="DD345" s="1708"/>
      <c r="DE345" s="1708"/>
      <c r="DF345" s="1708"/>
      <c r="DG345" s="1708"/>
      <c r="DH345" s="1708"/>
      <c r="DI345" s="1708"/>
      <c r="DJ345" s="1708"/>
      <c r="DK345" s="1708"/>
      <c r="DL345" s="1708"/>
      <c r="DM345" s="1708"/>
      <c r="DN345" s="1708"/>
      <c r="DO345" s="1708"/>
      <c r="DP345" s="1708"/>
      <c r="DQ345" s="1708"/>
      <c r="DR345" s="1708"/>
      <c r="DS345" s="1708"/>
      <c r="DT345" s="1708"/>
      <c r="DU345" s="1708"/>
      <c r="DV345" s="1708"/>
      <c r="DW345" s="1708"/>
      <c r="DX345" s="1708"/>
      <c r="DY345" s="1708"/>
      <c r="DZ345" s="1708"/>
      <c r="EA345" s="1708"/>
      <c r="EB345" s="1708"/>
      <c r="EC345" s="1708"/>
      <c r="ED345" s="1708"/>
      <c r="EE345" s="1708"/>
      <c r="EF345" s="1708"/>
      <c r="EG345" s="1708"/>
      <c r="EH345" s="1708"/>
      <c r="EI345" s="1708"/>
      <c r="EJ345" s="1708"/>
      <c r="EK345" s="1708"/>
      <c r="EL345" s="1708"/>
      <c r="EM345" s="1708"/>
      <c r="EN345" s="1708"/>
      <c r="EO345" s="1708"/>
      <c r="EP345" s="1708"/>
      <c r="EQ345" s="1708"/>
      <c r="ER345" s="1708"/>
      <c r="ES345" s="1708"/>
      <c r="ET345" s="1708"/>
      <c r="EU345" s="1708"/>
      <c r="EV345" s="1708"/>
      <c r="EW345" s="1708"/>
      <c r="EX345" s="1708"/>
      <c r="EY345" s="1708"/>
      <c r="EZ345" s="1708"/>
      <c r="FA345" s="1708"/>
      <c r="FB345" s="1708"/>
      <c r="FC345" s="1708"/>
      <c r="FD345" s="1708"/>
      <c r="FE345" s="1708"/>
      <c r="FF345" s="1708"/>
      <c r="FG345" s="1708"/>
      <c r="FH345" s="1708"/>
      <c r="FI345" s="1708"/>
      <c r="FJ345" s="1708"/>
      <c r="FK345" s="1708"/>
      <c r="FL345" s="1708"/>
      <c r="FM345" s="1708"/>
      <c r="FN345" s="1708"/>
      <c r="FO345" s="1708"/>
      <c r="FP345" s="1708"/>
      <c r="FQ345" s="1708"/>
      <c r="FR345" s="1708"/>
      <c r="FS345" s="1708"/>
      <c r="FT345" s="1708"/>
      <c r="FU345" s="1708"/>
      <c r="FV345" s="1708"/>
      <c r="FW345" s="1708"/>
      <c r="FX345" s="1708"/>
      <c r="FY345" s="1708"/>
      <c r="FZ345" s="1708"/>
      <c r="GA345" s="1708"/>
      <c r="GB345" s="1708"/>
      <c r="GC345" s="1708"/>
      <c r="GD345" s="1708"/>
      <c r="GE345" s="1708"/>
      <c r="GF345" s="1708"/>
      <c r="GG345" s="1708"/>
      <c r="GH345" s="1708"/>
      <c r="GI345" s="1708"/>
      <c r="GJ345" s="1708"/>
      <c r="GK345" s="1708"/>
      <c r="GL345" s="1708"/>
      <c r="GM345" s="1708"/>
      <c r="GN345" s="1708"/>
      <c r="GO345" s="1708"/>
      <c r="GP345" s="1708"/>
      <c r="GQ345" s="1708"/>
      <c r="GR345" s="1708"/>
      <c r="GS345" s="1708"/>
      <c r="GT345" s="1708"/>
      <c r="GU345" s="1708"/>
      <c r="GV345" s="1708"/>
      <c r="GW345" s="1708"/>
      <c r="GX345" s="1708"/>
      <c r="GY345" s="1708"/>
      <c r="GZ345" s="1708"/>
      <c r="HA345" s="1708"/>
      <c r="HB345" s="1708"/>
      <c r="HC345" s="1708"/>
      <c r="HD345" s="1708"/>
      <c r="HE345" s="1708"/>
      <c r="HF345" s="1708"/>
      <c r="HG345" s="1708"/>
      <c r="HH345" s="1708"/>
      <c r="HI345" s="1708"/>
      <c r="HJ345" s="1708"/>
      <c r="HK345" s="1708"/>
      <c r="HL345" s="1708"/>
      <c r="HM345" s="1708"/>
      <c r="HN345" s="1708"/>
      <c r="HO345" s="1708"/>
      <c r="HP345" s="1708"/>
      <c r="HQ345" s="1708"/>
      <c r="HR345" s="1708"/>
      <c r="HS345" s="1708"/>
      <c r="HT345" s="1708"/>
      <c r="HU345" s="1708"/>
      <c r="HV345" s="1708"/>
      <c r="HW345" s="1708"/>
      <c r="HX345" s="1708"/>
      <c r="HY345" s="1708"/>
      <c r="HZ345" s="1708"/>
      <c r="IA345" s="1708"/>
      <c r="IB345" s="1708"/>
      <c r="IC345" s="1708"/>
      <c r="ID345" s="1708"/>
      <c r="IE345" s="1708"/>
      <c r="IF345" s="1708"/>
      <c r="IG345" s="1708"/>
      <c r="IH345" s="1708"/>
      <c r="II345" s="1708"/>
      <c r="IJ345" s="1708"/>
      <c r="IK345" s="1708"/>
      <c r="IL345" s="1708"/>
      <c r="IM345" s="1708"/>
      <c r="IN345" s="1708"/>
      <c r="IO345" s="1708"/>
      <c r="IP345" s="1708"/>
      <c r="IQ345" s="1708"/>
      <c r="IR345" s="1708"/>
      <c r="IS345" s="1708"/>
      <c r="IT345" s="1708"/>
      <c r="IU345" s="1708"/>
      <c r="IV345" s="1708"/>
    </row>
    <row r="346" spans="2:256" s="57" customFormat="1" x14ac:dyDescent="0.25">
      <c r="B346" s="1836"/>
      <c r="G346" s="1849"/>
      <c r="J346" s="1850"/>
      <c r="K346" s="1850"/>
      <c r="S346" s="1708"/>
      <c r="T346" s="1708"/>
      <c r="U346" s="1708"/>
      <c r="V346" s="1708"/>
      <c r="W346" s="1708"/>
      <c r="X346" s="1708"/>
      <c r="Y346" s="1708"/>
      <c r="Z346" s="1708"/>
      <c r="AA346" s="1708"/>
      <c r="AB346" s="1708"/>
      <c r="AC346" s="1708"/>
      <c r="AD346" s="1708"/>
      <c r="AE346" s="1708"/>
      <c r="AF346" s="1708"/>
      <c r="AG346" s="1708"/>
      <c r="AH346" s="1708"/>
      <c r="AI346" s="1708"/>
      <c r="AJ346" s="1708"/>
      <c r="AK346" s="1708"/>
      <c r="AL346" s="1708"/>
      <c r="AM346" s="1708"/>
      <c r="AN346" s="1708"/>
      <c r="AO346" s="1708"/>
      <c r="AP346" s="1708"/>
      <c r="AQ346" s="1708"/>
      <c r="AR346" s="1708"/>
      <c r="AS346" s="1708"/>
      <c r="AT346" s="1708"/>
      <c r="AU346" s="1708"/>
      <c r="AV346" s="1708"/>
      <c r="AW346" s="1708"/>
      <c r="AX346" s="1708"/>
      <c r="AY346" s="1708"/>
      <c r="AZ346" s="1708"/>
      <c r="BA346" s="1708"/>
      <c r="BB346" s="1708"/>
      <c r="BC346" s="1708"/>
      <c r="BD346" s="1708"/>
      <c r="BE346" s="1708"/>
      <c r="BF346" s="1708"/>
      <c r="BG346" s="1708"/>
      <c r="BH346" s="1708"/>
      <c r="BI346" s="1708"/>
      <c r="BJ346" s="1708"/>
      <c r="BK346" s="1708"/>
      <c r="BL346" s="1708"/>
      <c r="BM346" s="1708"/>
      <c r="BN346" s="1708"/>
      <c r="BO346" s="1708"/>
      <c r="BP346" s="1708"/>
      <c r="BQ346" s="1708"/>
      <c r="BR346" s="1708"/>
      <c r="BS346" s="1708"/>
      <c r="BT346" s="1708"/>
      <c r="BU346" s="1708"/>
      <c r="BV346" s="1708"/>
      <c r="BW346" s="1708"/>
      <c r="BX346" s="1708"/>
      <c r="BY346" s="1708"/>
      <c r="BZ346" s="1708"/>
      <c r="CA346" s="1708"/>
      <c r="CB346" s="1708"/>
      <c r="CC346" s="1708"/>
      <c r="CD346" s="1708"/>
      <c r="CE346" s="1708"/>
      <c r="CF346" s="1708"/>
      <c r="CG346" s="1708"/>
      <c r="CH346" s="1708"/>
      <c r="CI346" s="1708"/>
      <c r="CJ346" s="1708"/>
      <c r="CK346" s="1708"/>
      <c r="CL346" s="1708"/>
      <c r="CM346" s="1708"/>
      <c r="CN346" s="1708"/>
      <c r="CO346" s="1708"/>
      <c r="CP346" s="1708"/>
      <c r="CQ346" s="1708"/>
      <c r="CR346" s="1708"/>
      <c r="CS346" s="1708"/>
      <c r="CT346" s="1708"/>
      <c r="CU346" s="1708"/>
      <c r="CV346" s="1708"/>
      <c r="CW346" s="1708"/>
      <c r="CX346" s="1708"/>
      <c r="CY346" s="1708"/>
      <c r="CZ346" s="1708"/>
      <c r="DA346" s="1708"/>
      <c r="DB346" s="1708"/>
      <c r="DC346" s="1708"/>
      <c r="DD346" s="1708"/>
      <c r="DE346" s="1708"/>
      <c r="DF346" s="1708"/>
      <c r="DG346" s="1708"/>
      <c r="DH346" s="1708"/>
      <c r="DI346" s="1708"/>
      <c r="DJ346" s="1708"/>
      <c r="DK346" s="1708"/>
      <c r="DL346" s="1708"/>
      <c r="DM346" s="1708"/>
      <c r="DN346" s="1708"/>
      <c r="DO346" s="1708"/>
      <c r="DP346" s="1708"/>
      <c r="DQ346" s="1708"/>
      <c r="DR346" s="1708"/>
      <c r="DS346" s="1708"/>
      <c r="DT346" s="1708"/>
      <c r="DU346" s="1708"/>
      <c r="DV346" s="1708"/>
      <c r="DW346" s="1708"/>
      <c r="DX346" s="1708"/>
      <c r="DY346" s="1708"/>
      <c r="DZ346" s="1708"/>
      <c r="EA346" s="1708"/>
      <c r="EB346" s="1708"/>
      <c r="EC346" s="1708"/>
      <c r="ED346" s="1708"/>
      <c r="EE346" s="1708"/>
      <c r="EF346" s="1708"/>
      <c r="EG346" s="1708"/>
      <c r="EH346" s="1708"/>
      <c r="EI346" s="1708"/>
      <c r="EJ346" s="1708"/>
      <c r="EK346" s="1708"/>
      <c r="EL346" s="1708"/>
      <c r="EM346" s="1708"/>
      <c r="EN346" s="1708"/>
      <c r="EO346" s="1708"/>
      <c r="EP346" s="1708"/>
      <c r="EQ346" s="1708"/>
      <c r="ER346" s="1708"/>
      <c r="ES346" s="1708"/>
      <c r="ET346" s="1708"/>
      <c r="EU346" s="1708"/>
      <c r="EV346" s="1708"/>
      <c r="EW346" s="1708"/>
      <c r="EX346" s="1708"/>
      <c r="EY346" s="1708"/>
      <c r="EZ346" s="1708"/>
      <c r="FA346" s="1708"/>
      <c r="FB346" s="1708"/>
      <c r="FC346" s="1708"/>
      <c r="FD346" s="1708"/>
      <c r="FE346" s="1708"/>
      <c r="FF346" s="1708"/>
      <c r="FG346" s="1708"/>
      <c r="FH346" s="1708"/>
      <c r="FI346" s="1708"/>
      <c r="FJ346" s="1708"/>
      <c r="FK346" s="1708"/>
      <c r="FL346" s="1708"/>
      <c r="FM346" s="1708"/>
      <c r="FN346" s="1708"/>
      <c r="FO346" s="1708"/>
      <c r="FP346" s="1708"/>
      <c r="FQ346" s="1708"/>
      <c r="FR346" s="1708"/>
      <c r="FS346" s="1708"/>
      <c r="FT346" s="1708"/>
      <c r="FU346" s="1708"/>
      <c r="FV346" s="1708"/>
      <c r="FW346" s="1708"/>
      <c r="FX346" s="1708"/>
      <c r="FY346" s="1708"/>
      <c r="FZ346" s="1708"/>
      <c r="GA346" s="1708"/>
      <c r="GB346" s="1708"/>
      <c r="GC346" s="1708"/>
      <c r="GD346" s="1708"/>
      <c r="GE346" s="1708"/>
      <c r="GF346" s="1708"/>
      <c r="GG346" s="1708"/>
      <c r="GH346" s="1708"/>
      <c r="GI346" s="1708"/>
      <c r="GJ346" s="1708"/>
      <c r="GK346" s="1708"/>
      <c r="GL346" s="1708"/>
      <c r="GM346" s="1708"/>
      <c r="GN346" s="1708"/>
      <c r="GO346" s="1708"/>
      <c r="GP346" s="1708"/>
      <c r="GQ346" s="1708"/>
      <c r="GR346" s="1708"/>
      <c r="GS346" s="1708"/>
      <c r="GT346" s="1708"/>
      <c r="GU346" s="1708"/>
      <c r="GV346" s="1708"/>
      <c r="GW346" s="1708"/>
      <c r="GX346" s="1708"/>
      <c r="GY346" s="1708"/>
      <c r="GZ346" s="1708"/>
      <c r="HA346" s="1708"/>
      <c r="HB346" s="1708"/>
      <c r="HC346" s="1708"/>
      <c r="HD346" s="1708"/>
      <c r="HE346" s="1708"/>
      <c r="HF346" s="1708"/>
      <c r="HG346" s="1708"/>
      <c r="HH346" s="1708"/>
      <c r="HI346" s="1708"/>
      <c r="HJ346" s="1708"/>
      <c r="HK346" s="1708"/>
      <c r="HL346" s="1708"/>
      <c r="HM346" s="1708"/>
      <c r="HN346" s="1708"/>
      <c r="HO346" s="1708"/>
      <c r="HP346" s="1708"/>
      <c r="HQ346" s="1708"/>
      <c r="HR346" s="1708"/>
      <c r="HS346" s="1708"/>
      <c r="HT346" s="1708"/>
      <c r="HU346" s="1708"/>
      <c r="HV346" s="1708"/>
      <c r="HW346" s="1708"/>
      <c r="HX346" s="1708"/>
      <c r="HY346" s="1708"/>
      <c r="HZ346" s="1708"/>
      <c r="IA346" s="1708"/>
      <c r="IB346" s="1708"/>
      <c r="IC346" s="1708"/>
      <c r="ID346" s="1708"/>
      <c r="IE346" s="1708"/>
      <c r="IF346" s="1708"/>
      <c r="IG346" s="1708"/>
      <c r="IH346" s="1708"/>
      <c r="II346" s="1708"/>
      <c r="IJ346" s="1708"/>
      <c r="IK346" s="1708"/>
      <c r="IL346" s="1708"/>
      <c r="IM346" s="1708"/>
      <c r="IN346" s="1708"/>
      <c r="IO346" s="1708"/>
      <c r="IP346" s="1708"/>
      <c r="IQ346" s="1708"/>
      <c r="IR346" s="1708"/>
      <c r="IS346" s="1708"/>
      <c r="IT346" s="1708"/>
      <c r="IU346" s="1708"/>
      <c r="IV346" s="1708"/>
    </row>
    <row r="347" spans="2:256" s="57" customFormat="1" x14ac:dyDescent="0.25">
      <c r="B347" s="1836"/>
      <c r="G347" s="1849"/>
      <c r="J347" s="1850"/>
      <c r="K347" s="1850"/>
      <c r="S347" s="1708"/>
      <c r="T347" s="1708"/>
      <c r="U347" s="1708"/>
      <c r="V347" s="1708"/>
      <c r="W347" s="1708"/>
      <c r="X347" s="1708"/>
      <c r="Y347" s="1708"/>
      <c r="Z347" s="1708"/>
      <c r="AA347" s="1708"/>
      <c r="AB347" s="1708"/>
      <c r="AC347" s="1708"/>
      <c r="AD347" s="1708"/>
      <c r="AE347" s="1708"/>
      <c r="AF347" s="1708"/>
      <c r="AG347" s="1708"/>
      <c r="AH347" s="1708"/>
      <c r="AI347" s="1708"/>
      <c r="AJ347" s="1708"/>
      <c r="AK347" s="1708"/>
      <c r="AL347" s="1708"/>
      <c r="AM347" s="1708"/>
      <c r="AN347" s="1708"/>
      <c r="AO347" s="1708"/>
      <c r="AP347" s="1708"/>
      <c r="AQ347" s="1708"/>
      <c r="AR347" s="1708"/>
      <c r="AS347" s="1708"/>
      <c r="AT347" s="1708"/>
      <c r="AU347" s="1708"/>
      <c r="AV347" s="1708"/>
      <c r="AW347" s="1708"/>
      <c r="AX347" s="1708"/>
      <c r="AY347" s="1708"/>
      <c r="AZ347" s="1708"/>
      <c r="BA347" s="1708"/>
      <c r="BB347" s="1708"/>
      <c r="BC347" s="1708"/>
      <c r="BD347" s="1708"/>
      <c r="BE347" s="1708"/>
      <c r="BF347" s="1708"/>
      <c r="BG347" s="1708"/>
      <c r="BH347" s="1708"/>
      <c r="BI347" s="1708"/>
      <c r="BJ347" s="1708"/>
      <c r="BK347" s="1708"/>
      <c r="BL347" s="1708"/>
      <c r="BM347" s="1708"/>
      <c r="BN347" s="1708"/>
      <c r="BO347" s="1708"/>
      <c r="BP347" s="1708"/>
      <c r="BQ347" s="1708"/>
      <c r="BR347" s="1708"/>
      <c r="BS347" s="1708"/>
      <c r="BT347" s="1708"/>
      <c r="BU347" s="1708"/>
      <c r="BV347" s="1708"/>
      <c r="BW347" s="1708"/>
      <c r="BX347" s="1708"/>
      <c r="BY347" s="1708"/>
      <c r="BZ347" s="1708"/>
      <c r="CA347" s="1708"/>
      <c r="CB347" s="1708"/>
      <c r="CC347" s="1708"/>
      <c r="CD347" s="1708"/>
      <c r="CE347" s="1708"/>
      <c r="CF347" s="1708"/>
      <c r="CG347" s="1708"/>
      <c r="CH347" s="1708"/>
      <c r="CI347" s="1708"/>
      <c r="CJ347" s="1708"/>
      <c r="CK347" s="1708"/>
      <c r="CL347" s="1708"/>
      <c r="CM347" s="1708"/>
      <c r="CN347" s="1708"/>
      <c r="CO347" s="1708"/>
      <c r="CP347" s="1708"/>
      <c r="CQ347" s="1708"/>
      <c r="CR347" s="1708"/>
      <c r="CS347" s="1708"/>
      <c r="CT347" s="1708"/>
      <c r="CU347" s="1708"/>
      <c r="CV347" s="1708"/>
      <c r="CW347" s="1708"/>
      <c r="CX347" s="1708"/>
      <c r="CY347" s="1708"/>
      <c r="CZ347" s="1708"/>
      <c r="DA347" s="1708"/>
      <c r="DB347" s="1708"/>
      <c r="DC347" s="1708"/>
      <c r="DD347" s="1708"/>
      <c r="DE347" s="1708"/>
      <c r="DF347" s="1708"/>
      <c r="DG347" s="1708"/>
      <c r="DH347" s="1708"/>
      <c r="DI347" s="1708"/>
      <c r="DJ347" s="1708"/>
      <c r="DK347" s="1708"/>
      <c r="DL347" s="1708"/>
      <c r="DM347" s="1708"/>
      <c r="DN347" s="1708"/>
      <c r="DO347" s="1708"/>
      <c r="DP347" s="1708"/>
      <c r="DQ347" s="1708"/>
      <c r="DR347" s="1708"/>
      <c r="DS347" s="1708"/>
      <c r="DT347" s="1708"/>
      <c r="DU347" s="1708"/>
      <c r="DV347" s="1708"/>
      <c r="DW347" s="1708"/>
      <c r="DX347" s="1708"/>
      <c r="DY347" s="1708"/>
      <c r="DZ347" s="1708"/>
      <c r="EA347" s="1708"/>
      <c r="EB347" s="1708"/>
      <c r="EC347" s="1708"/>
      <c r="ED347" s="1708"/>
      <c r="EE347" s="1708"/>
      <c r="EF347" s="1708"/>
      <c r="EG347" s="1708"/>
      <c r="EH347" s="1708"/>
      <c r="EI347" s="1708"/>
      <c r="EJ347" s="1708"/>
      <c r="EK347" s="1708"/>
      <c r="EL347" s="1708"/>
      <c r="EM347" s="1708"/>
      <c r="EN347" s="1708"/>
      <c r="EO347" s="1708"/>
      <c r="EP347" s="1708"/>
      <c r="EQ347" s="1708"/>
      <c r="ER347" s="1708"/>
      <c r="ES347" s="1708"/>
      <c r="ET347" s="1708"/>
      <c r="EU347" s="1708"/>
      <c r="EV347" s="1708"/>
      <c r="EW347" s="1708"/>
      <c r="EX347" s="1708"/>
      <c r="EY347" s="1708"/>
      <c r="EZ347" s="1708"/>
      <c r="FA347" s="1708"/>
      <c r="FB347" s="1708"/>
      <c r="FC347" s="1708"/>
      <c r="FD347" s="1708"/>
      <c r="FE347" s="1708"/>
      <c r="FF347" s="1708"/>
      <c r="FG347" s="1708"/>
      <c r="FH347" s="1708"/>
      <c r="FI347" s="1708"/>
      <c r="FJ347" s="1708"/>
      <c r="FK347" s="1708"/>
      <c r="FL347" s="1708"/>
      <c r="FM347" s="1708"/>
      <c r="FN347" s="1708"/>
      <c r="FO347" s="1708"/>
      <c r="FP347" s="1708"/>
      <c r="FQ347" s="1708"/>
      <c r="FR347" s="1708"/>
      <c r="FS347" s="1708"/>
      <c r="FT347" s="1708"/>
      <c r="FU347" s="1708"/>
      <c r="FV347" s="1708"/>
      <c r="FW347" s="1708"/>
      <c r="FX347" s="1708"/>
      <c r="FY347" s="1708"/>
      <c r="FZ347" s="1708"/>
      <c r="GA347" s="1708"/>
      <c r="GB347" s="1708"/>
      <c r="GC347" s="1708"/>
      <c r="GD347" s="1708"/>
      <c r="GE347" s="1708"/>
      <c r="GF347" s="1708"/>
      <c r="GG347" s="1708"/>
      <c r="GH347" s="1708"/>
      <c r="GI347" s="1708"/>
      <c r="GJ347" s="1708"/>
      <c r="GK347" s="1708"/>
      <c r="GL347" s="1708"/>
      <c r="GM347" s="1708"/>
      <c r="GN347" s="1708"/>
      <c r="GO347" s="1708"/>
      <c r="GP347" s="1708"/>
      <c r="GQ347" s="1708"/>
      <c r="GR347" s="1708"/>
      <c r="GS347" s="1708"/>
      <c r="GT347" s="1708"/>
      <c r="GU347" s="1708"/>
      <c r="GV347" s="1708"/>
      <c r="GW347" s="1708"/>
      <c r="GX347" s="1708"/>
      <c r="GY347" s="1708"/>
      <c r="GZ347" s="1708"/>
      <c r="HA347" s="1708"/>
      <c r="HB347" s="1708"/>
      <c r="HC347" s="1708"/>
      <c r="HD347" s="1708"/>
      <c r="HE347" s="1708"/>
      <c r="HF347" s="1708"/>
      <c r="HG347" s="1708"/>
      <c r="HH347" s="1708"/>
      <c r="HI347" s="1708"/>
      <c r="HJ347" s="1708"/>
      <c r="HK347" s="1708"/>
      <c r="HL347" s="1708"/>
      <c r="HM347" s="1708"/>
      <c r="HN347" s="1708"/>
      <c r="HO347" s="1708"/>
      <c r="HP347" s="1708"/>
      <c r="HQ347" s="1708"/>
      <c r="HR347" s="1708"/>
      <c r="HS347" s="1708"/>
      <c r="HT347" s="1708"/>
      <c r="HU347" s="1708"/>
      <c r="HV347" s="1708"/>
      <c r="HW347" s="1708"/>
      <c r="HX347" s="1708"/>
      <c r="HY347" s="1708"/>
      <c r="HZ347" s="1708"/>
      <c r="IA347" s="1708"/>
      <c r="IB347" s="1708"/>
      <c r="IC347" s="1708"/>
      <c r="ID347" s="1708"/>
      <c r="IE347" s="1708"/>
      <c r="IF347" s="1708"/>
      <c r="IG347" s="1708"/>
      <c r="IH347" s="1708"/>
      <c r="II347" s="1708"/>
      <c r="IJ347" s="1708"/>
      <c r="IK347" s="1708"/>
      <c r="IL347" s="1708"/>
      <c r="IM347" s="1708"/>
      <c r="IN347" s="1708"/>
      <c r="IO347" s="1708"/>
      <c r="IP347" s="1708"/>
      <c r="IQ347" s="1708"/>
      <c r="IR347" s="1708"/>
      <c r="IS347" s="1708"/>
      <c r="IT347" s="1708"/>
      <c r="IU347" s="1708"/>
      <c r="IV347" s="1708"/>
    </row>
    <row r="348" spans="2:256" s="57" customFormat="1" x14ac:dyDescent="0.25">
      <c r="B348" s="1836"/>
      <c r="G348" s="1849"/>
      <c r="J348" s="1850"/>
      <c r="K348" s="1850"/>
      <c r="S348" s="1708"/>
      <c r="T348" s="1708"/>
      <c r="U348" s="1708"/>
      <c r="V348" s="1708"/>
      <c r="W348" s="1708"/>
      <c r="X348" s="1708"/>
      <c r="Y348" s="1708"/>
      <c r="Z348" s="1708"/>
      <c r="AA348" s="1708"/>
      <c r="AB348" s="1708"/>
      <c r="AC348" s="1708"/>
      <c r="AD348" s="1708"/>
      <c r="AE348" s="1708"/>
      <c r="AF348" s="1708"/>
      <c r="AG348" s="1708"/>
      <c r="AH348" s="1708"/>
      <c r="AI348" s="1708"/>
      <c r="AJ348" s="1708"/>
      <c r="AK348" s="1708"/>
      <c r="AL348" s="1708"/>
      <c r="AM348" s="1708"/>
      <c r="AN348" s="1708"/>
      <c r="AO348" s="1708"/>
      <c r="AP348" s="1708"/>
      <c r="AQ348" s="1708"/>
      <c r="AR348" s="1708"/>
      <c r="AS348" s="1708"/>
      <c r="AT348" s="1708"/>
      <c r="AU348" s="1708"/>
      <c r="AV348" s="1708"/>
      <c r="AW348" s="1708"/>
      <c r="AX348" s="1708"/>
      <c r="AY348" s="1708"/>
      <c r="AZ348" s="1708"/>
      <c r="BA348" s="1708"/>
      <c r="BB348" s="1708"/>
      <c r="BC348" s="1708"/>
      <c r="BD348" s="1708"/>
      <c r="BE348" s="1708"/>
      <c r="BF348" s="1708"/>
      <c r="BG348" s="1708"/>
      <c r="BH348" s="1708"/>
      <c r="BI348" s="1708"/>
      <c r="BJ348" s="1708"/>
      <c r="BK348" s="1708"/>
      <c r="BL348" s="1708"/>
      <c r="BM348" s="1708"/>
      <c r="BN348" s="1708"/>
      <c r="BO348" s="1708"/>
      <c r="BP348" s="1708"/>
      <c r="BQ348" s="1708"/>
      <c r="BR348" s="1708"/>
      <c r="BS348" s="1708"/>
      <c r="BT348" s="1708"/>
      <c r="BU348" s="1708"/>
      <c r="BV348" s="1708"/>
      <c r="BW348" s="1708"/>
      <c r="BX348" s="1708"/>
      <c r="BY348" s="1708"/>
      <c r="BZ348" s="1708"/>
      <c r="CA348" s="1708"/>
      <c r="CB348" s="1708"/>
      <c r="CC348" s="1708"/>
      <c r="CD348" s="1708"/>
      <c r="CE348" s="1708"/>
      <c r="CF348" s="1708"/>
      <c r="CG348" s="1708"/>
      <c r="CH348" s="1708"/>
      <c r="CI348" s="1708"/>
      <c r="CJ348" s="1708"/>
      <c r="CK348" s="1708"/>
      <c r="CL348" s="1708"/>
      <c r="CM348" s="1708"/>
      <c r="CN348" s="1708"/>
      <c r="CO348" s="1708"/>
      <c r="CP348" s="1708"/>
      <c r="CQ348" s="1708"/>
      <c r="CR348" s="1708"/>
      <c r="CS348" s="1708"/>
      <c r="CT348" s="1708"/>
      <c r="CU348" s="1708"/>
      <c r="CV348" s="1708"/>
      <c r="CW348" s="1708"/>
      <c r="CX348" s="1708"/>
      <c r="CY348" s="1708"/>
      <c r="CZ348" s="1708"/>
      <c r="DA348" s="1708"/>
      <c r="DB348" s="1708"/>
      <c r="DC348" s="1708"/>
      <c r="DD348" s="1708"/>
      <c r="DE348" s="1708"/>
      <c r="DF348" s="1708"/>
      <c r="DG348" s="1708"/>
      <c r="DH348" s="1708"/>
      <c r="DI348" s="1708"/>
      <c r="DJ348" s="1708"/>
      <c r="DK348" s="1708"/>
      <c r="DL348" s="1708"/>
      <c r="DM348" s="1708"/>
      <c r="DN348" s="1708"/>
      <c r="DO348" s="1708"/>
      <c r="DP348" s="1708"/>
      <c r="DQ348" s="1708"/>
      <c r="DR348" s="1708"/>
      <c r="DS348" s="1708"/>
      <c r="DT348" s="1708"/>
      <c r="DU348" s="1708"/>
      <c r="DV348" s="1708"/>
      <c r="DW348" s="1708"/>
      <c r="DX348" s="1708"/>
      <c r="DY348" s="1708"/>
      <c r="DZ348" s="1708"/>
      <c r="EA348" s="1708"/>
      <c r="EB348" s="1708"/>
      <c r="EC348" s="1708"/>
      <c r="ED348" s="1708"/>
      <c r="EE348" s="1708"/>
      <c r="EF348" s="1708"/>
      <c r="EG348" s="1708"/>
      <c r="EH348" s="1708"/>
      <c r="EI348" s="1708"/>
      <c r="EJ348" s="1708"/>
      <c r="EK348" s="1708"/>
      <c r="EL348" s="1708"/>
      <c r="EM348" s="1708"/>
      <c r="EN348" s="1708"/>
      <c r="EO348" s="1708"/>
      <c r="EP348" s="1708"/>
      <c r="EQ348" s="1708"/>
      <c r="ER348" s="1708"/>
      <c r="ES348" s="1708"/>
      <c r="ET348" s="1708"/>
      <c r="EU348" s="1708"/>
      <c r="EV348" s="1708"/>
      <c r="EW348" s="1708"/>
      <c r="EX348" s="1708"/>
      <c r="EY348" s="1708"/>
      <c r="EZ348" s="1708"/>
      <c r="FA348" s="1708"/>
      <c r="FB348" s="1708"/>
      <c r="FC348" s="1708"/>
      <c r="FD348" s="1708"/>
      <c r="FE348" s="1708"/>
      <c r="FF348" s="1708"/>
      <c r="FG348" s="1708"/>
      <c r="FH348" s="1708"/>
      <c r="FI348" s="1708"/>
      <c r="FJ348" s="1708"/>
      <c r="FK348" s="1708"/>
      <c r="FL348" s="1708"/>
      <c r="FM348" s="1708"/>
      <c r="FN348" s="1708"/>
      <c r="FO348" s="1708"/>
      <c r="FP348" s="1708"/>
      <c r="FQ348" s="1708"/>
      <c r="FR348" s="1708"/>
      <c r="FS348" s="1708"/>
      <c r="FT348" s="1708"/>
      <c r="FU348" s="1708"/>
      <c r="FV348" s="1708"/>
      <c r="FW348" s="1708"/>
      <c r="FX348" s="1708"/>
      <c r="FY348" s="1708"/>
      <c r="FZ348" s="1708"/>
      <c r="GA348" s="1708"/>
      <c r="GB348" s="1708"/>
      <c r="GC348" s="1708"/>
      <c r="GD348" s="1708"/>
      <c r="GE348" s="1708"/>
      <c r="GF348" s="1708"/>
      <c r="GG348" s="1708"/>
      <c r="GH348" s="1708"/>
      <c r="GI348" s="1708"/>
      <c r="GJ348" s="1708"/>
      <c r="GK348" s="1708"/>
      <c r="GL348" s="1708"/>
      <c r="GM348" s="1708"/>
      <c r="GN348" s="1708"/>
      <c r="GO348" s="1708"/>
      <c r="GP348" s="1708"/>
      <c r="GQ348" s="1708"/>
      <c r="GR348" s="1708"/>
      <c r="GS348" s="1708"/>
      <c r="GT348" s="1708"/>
      <c r="GU348" s="1708"/>
      <c r="GV348" s="1708"/>
      <c r="GW348" s="1708"/>
      <c r="GX348" s="1708"/>
      <c r="GY348" s="1708"/>
      <c r="GZ348" s="1708"/>
      <c r="HA348" s="1708"/>
      <c r="HB348" s="1708"/>
      <c r="HC348" s="1708"/>
      <c r="HD348" s="1708"/>
      <c r="HE348" s="1708"/>
      <c r="HF348" s="1708"/>
      <c r="HG348" s="1708"/>
      <c r="HH348" s="1708"/>
      <c r="HI348" s="1708"/>
      <c r="HJ348" s="1708"/>
      <c r="HK348" s="1708"/>
      <c r="HL348" s="1708"/>
      <c r="HM348" s="1708"/>
      <c r="HN348" s="1708"/>
      <c r="HO348" s="1708"/>
      <c r="HP348" s="1708"/>
      <c r="HQ348" s="1708"/>
      <c r="HR348" s="1708"/>
      <c r="HS348" s="1708"/>
      <c r="HT348" s="1708"/>
      <c r="HU348" s="1708"/>
      <c r="HV348" s="1708"/>
      <c r="HW348" s="1708"/>
      <c r="HX348" s="1708"/>
      <c r="HY348" s="1708"/>
      <c r="HZ348" s="1708"/>
      <c r="IA348" s="1708"/>
      <c r="IB348" s="1708"/>
      <c r="IC348" s="1708"/>
      <c r="ID348" s="1708"/>
      <c r="IE348" s="1708"/>
      <c r="IF348" s="1708"/>
      <c r="IG348" s="1708"/>
      <c r="IH348" s="1708"/>
      <c r="II348" s="1708"/>
      <c r="IJ348" s="1708"/>
      <c r="IK348" s="1708"/>
      <c r="IL348" s="1708"/>
      <c r="IM348" s="1708"/>
      <c r="IN348" s="1708"/>
      <c r="IO348" s="1708"/>
      <c r="IP348" s="1708"/>
      <c r="IQ348" s="1708"/>
      <c r="IR348" s="1708"/>
      <c r="IS348" s="1708"/>
      <c r="IT348" s="1708"/>
      <c r="IU348" s="1708"/>
      <c r="IV348" s="1708"/>
    </row>
    <row r="349" spans="2:256" s="57" customFormat="1" x14ac:dyDescent="0.25">
      <c r="B349" s="1836"/>
      <c r="G349" s="1849"/>
      <c r="J349" s="1850"/>
      <c r="K349" s="1850"/>
      <c r="S349" s="1708"/>
      <c r="T349" s="1708"/>
      <c r="U349" s="1708"/>
      <c r="V349" s="1708"/>
      <c r="W349" s="1708"/>
      <c r="X349" s="1708"/>
      <c r="Y349" s="1708"/>
      <c r="Z349" s="1708"/>
      <c r="AA349" s="1708"/>
      <c r="AB349" s="1708"/>
      <c r="AC349" s="1708"/>
      <c r="AD349" s="1708"/>
      <c r="AE349" s="1708"/>
      <c r="AF349" s="1708"/>
      <c r="AG349" s="1708"/>
      <c r="AH349" s="1708"/>
      <c r="AI349" s="1708"/>
      <c r="AJ349" s="1708"/>
      <c r="AK349" s="1708"/>
      <c r="AL349" s="1708"/>
      <c r="AM349" s="1708"/>
      <c r="AN349" s="1708"/>
      <c r="AO349" s="1708"/>
      <c r="AP349" s="1708"/>
      <c r="AQ349" s="1708"/>
      <c r="AR349" s="1708"/>
      <c r="AS349" s="1708"/>
      <c r="AT349" s="1708"/>
      <c r="AU349" s="1708"/>
      <c r="AV349" s="1708"/>
      <c r="AW349" s="1708"/>
      <c r="AX349" s="1708"/>
      <c r="AY349" s="1708"/>
      <c r="AZ349" s="1708"/>
      <c r="BA349" s="1708"/>
      <c r="BB349" s="1708"/>
      <c r="BC349" s="1708"/>
      <c r="BD349" s="1708"/>
      <c r="BE349" s="1708"/>
      <c r="BF349" s="1708"/>
      <c r="BG349" s="1708"/>
      <c r="BH349" s="1708"/>
      <c r="BI349" s="1708"/>
      <c r="BJ349" s="1708"/>
      <c r="BK349" s="1708"/>
      <c r="BL349" s="1708"/>
      <c r="BM349" s="1708"/>
      <c r="BN349" s="1708"/>
      <c r="BO349" s="1708"/>
      <c r="BP349" s="1708"/>
      <c r="BQ349" s="1708"/>
      <c r="BR349" s="1708"/>
      <c r="BS349" s="1708"/>
      <c r="BT349" s="1708"/>
      <c r="BU349" s="1708"/>
      <c r="BV349" s="1708"/>
      <c r="BW349" s="1708"/>
      <c r="BX349" s="1708"/>
      <c r="BY349" s="1708"/>
      <c r="BZ349" s="1708"/>
      <c r="CA349" s="1708"/>
      <c r="CB349" s="1708"/>
      <c r="CC349" s="1708"/>
      <c r="CD349" s="1708"/>
      <c r="CE349" s="1708"/>
      <c r="CF349" s="1708"/>
      <c r="CG349" s="1708"/>
      <c r="CH349" s="1708"/>
      <c r="CI349" s="1708"/>
      <c r="CJ349" s="1708"/>
      <c r="CK349" s="1708"/>
      <c r="CL349" s="1708"/>
      <c r="CM349" s="1708"/>
      <c r="CN349" s="1708"/>
      <c r="CO349" s="1708"/>
      <c r="CP349" s="1708"/>
      <c r="CQ349" s="1708"/>
      <c r="CR349" s="1708"/>
      <c r="CS349" s="1708"/>
      <c r="CT349" s="1708"/>
      <c r="CU349" s="1708"/>
      <c r="CV349" s="1708"/>
      <c r="CW349" s="1708"/>
      <c r="CX349" s="1708"/>
      <c r="CY349" s="1708"/>
      <c r="CZ349" s="1708"/>
      <c r="DA349" s="1708"/>
      <c r="DB349" s="1708"/>
      <c r="DC349" s="1708"/>
      <c r="DD349" s="1708"/>
      <c r="DE349" s="1708"/>
      <c r="DF349" s="1708"/>
      <c r="DG349" s="1708"/>
      <c r="DH349" s="1708"/>
      <c r="DI349" s="1708"/>
      <c r="DJ349" s="1708"/>
      <c r="DK349" s="1708"/>
      <c r="DL349" s="1708"/>
      <c r="DM349" s="1708"/>
      <c r="DN349" s="1708"/>
      <c r="DO349" s="1708"/>
      <c r="DP349" s="1708"/>
      <c r="DQ349" s="1708"/>
      <c r="DR349" s="1708"/>
      <c r="DS349" s="1708"/>
      <c r="DT349" s="1708"/>
      <c r="DU349" s="1708"/>
      <c r="DV349" s="1708"/>
      <c r="DW349" s="1708"/>
      <c r="DX349" s="1708"/>
      <c r="DY349" s="1708"/>
      <c r="DZ349" s="1708"/>
      <c r="EA349" s="1708"/>
      <c r="EB349" s="1708"/>
      <c r="EC349" s="1708"/>
      <c r="ED349" s="1708"/>
      <c r="EE349" s="1708"/>
      <c r="EF349" s="1708"/>
      <c r="EG349" s="1708"/>
      <c r="EH349" s="1708"/>
      <c r="EI349" s="1708"/>
      <c r="EJ349" s="1708"/>
      <c r="EK349" s="1708"/>
      <c r="EL349" s="1708"/>
      <c r="EM349" s="1708"/>
      <c r="EN349" s="1708"/>
      <c r="EO349" s="1708"/>
      <c r="EP349" s="1708"/>
      <c r="EQ349" s="1708"/>
      <c r="ER349" s="1708"/>
      <c r="ES349" s="1708"/>
      <c r="ET349" s="1708"/>
      <c r="EU349" s="1708"/>
      <c r="EV349" s="1708"/>
      <c r="EW349" s="1708"/>
      <c r="EX349" s="1708"/>
      <c r="EY349" s="1708"/>
      <c r="EZ349" s="1708"/>
      <c r="FA349" s="1708"/>
      <c r="FB349" s="1708"/>
      <c r="FC349" s="1708"/>
      <c r="FD349" s="1708"/>
      <c r="FE349" s="1708"/>
      <c r="FF349" s="1708"/>
      <c r="FG349" s="1708"/>
      <c r="FH349" s="1708"/>
      <c r="FI349" s="1708"/>
      <c r="FJ349" s="1708"/>
      <c r="FK349" s="1708"/>
      <c r="FL349" s="1708"/>
      <c r="FM349" s="1708"/>
      <c r="FN349" s="1708"/>
      <c r="FO349" s="1708"/>
      <c r="FP349" s="1708"/>
      <c r="FQ349" s="1708"/>
      <c r="FR349" s="1708"/>
      <c r="FS349" s="1708"/>
      <c r="FT349" s="1708"/>
      <c r="FU349" s="1708"/>
      <c r="FV349" s="1708"/>
      <c r="FW349" s="1708"/>
      <c r="FX349" s="1708"/>
      <c r="FY349" s="1708"/>
      <c r="FZ349" s="1708"/>
      <c r="GA349" s="1708"/>
      <c r="GB349" s="1708"/>
      <c r="GC349" s="1708"/>
      <c r="GD349" s="1708"/>
      <c r="GE349" s="1708"/>
      <c r="GF349" s="1708"/>
      <c r="GG349" s="1708"/>
      <c r="GH349" s="1708"/>
      <c r="GI349" s="1708"/>
      <c r="GJ349" s="1708"/>
      <c r="GK349" s="1708"/>
      <c r="GL349" s="1708"/>
      <c r="GM349" s="1708"/>
      <c r="GN349" s="1708"/>
      <c r="GO349" s="1708"/>
      <c r="GP349" s="1708"/>
      <c r="GQ349" s="1708"/>
      <c r="GR349" s="1708"/>
      <c r="GS349" s="1708"/>
      <c r="GT349" s="1708"/>
      <c r="GU349" s="1708"/>
      <c r="GV349" s="1708"/>
      <c r="GW349" s="1708"/>
      <c r="GX349" s="1708"/>
      <c r="GY349" s="1708"/>
      <c r="GZ349" s="1708"/>
      <c r="HA349" s="1708"/>
      <c r="HB349" s="1708"/>
      <c r="HC349" s="1708"/>
      <c r="HD349" s="1708"/>
      <c r="HE349" s="1708"/>
      <c r="HF349" s="1708"/>
      <c r="HG349" s="1708"/>
      <c r="HH349" s="1708"/>
      <c r="HI349" s="1708"/>
      <c r="HJ349" s="1708"/>
      <c r="HK349" s="1708"/>
      <c r="HL349" s="1708"/>
      <c r="HM349" s="1708"/>
      <c r="HN349" s="1708"/>
      <c r="HO349" s="1708"/>
      <c r="HP349" s="1708"/>
      <c r="HQ349" s="1708"/>
      <c r="HR349" s="1708"/>
      <c r="HS349" s="1708"/>
      <c r="HT349" s="1708"/>
      <c r="HU349" s="1708"/>
      <c r="HV349" s="1708"/>
      <c r="HW349" s="1708"/>
      <c r="HX349" s="1708"/>
      <c r="HY349" s="1708"/>
      <c r="HZ349" s="1708"/>
      <c r="IA349" s="1708"/>
      <c r="IB349" s="1708"/>
      <c r="IC349" s="1708"/>
      <c r="ID349" s="1708"/>
      <c r="IE349" s="1708"/>
      <c r="IF349" s="1708"/>
      <c r="IG349" s="1708"/>
      <c r="IH349" s="1708"/>
      <c r="II349" s="1708"/>
      <c r="IJ349" s="1708"/>
      <c r="IK349" s="1708"/>
      <c r="IL349" s="1708"/>
      <c r="IM349" s="1708"/>
      <c r="IN349" s="1708"/>
      <c r="IO349" s="1708"/>
      <c r="IP349" s="1708"/>
      <c r="IQ349" s="1708"/>
      <c r="IR349" s="1708"/>
      <c r="IS349" s="1708"/>
      <c r="IT349" s="1708"/>
      <c r="IU349" s="1708"/>
      <c r="IV349" s="1708"/>
    </row>
    <row r="350" spans="2:256" s="57" customFormat="1" x14ac:dyDescent="0.25">
      <c r="B350" s="1836"/>
      <c r="G350" s="1849"/>
      <c r="J350" s="1850"/>
      <c r="K350" s="1850"/>
      <c r="S350" s="1708"/>
      <c r="T350" s="1708"/>
      <c r="U350" s="1708"/>
      <c r="V350" s="1708"/>
      <c r="W350" s="1708"/>
      <c r="X350" s="1708"/>
      <c r="Y350" s="1708"/>
      <c r="Z350" s="1708"/>
      <c r="AA350" s="1708"/>
      <c r="AB350" s="1708"/>
      <c r="AC350" s="1708"/>
      <c r="AD350" s="1708"/>
      <c r="AE350" s="1708"/>
      <c r="AF350" s="1708"/>
      <c r="AG350" s="1708"/>
      <c r="AH350" s="1708"/>
      <c r="AI350" s="1708"/>
      <c r="AJ350" s="1708"/>
      <c r="AK350" s="1708"/>
      <c r="AL350" s="1708"/>
      <c r="AM350" s="1708"/>
      <c r="AN350" s="1708"/>
      <c r="AO350" s="1708"/>
      <c r="AP350" s="1708"/>
      <c r="AQ350" s="1708"/>
      <c r="AR350" s="1708"/>
      <c r="AS350" s="1708"/>
      <c r="AT350" s="1708"/>
      <c r="AU350" s="1708"/>
      <c r="AV350" s="1708"/>
      <c r="AW350" s="1708"/>
      <c r="AX350" s="1708"/>
      <c r="AY350" s="1708"/>
      <c r="AZ350" s="1708"/>
      <c r="BA350" s="1708"/>
      <c r="BB350" s="1708"/>
      <c r="BC350" s="1708"/>
      <c r="BD350" s="1708"/>
      <c r="BE350" s="1708"/>
      <c r="BF350" s="1708"/>
      <c r="BG350" s="1708"/>
      <c r="BH350" s="1708"/>
      <c r="BI350" s="1708"/>
      <c r="BJ350" s="1708"/>
      <c r="BK350" s="1708"/>
      <c r="BL350" s="1708"/>
      <c r="BM350" s="1708"/>
      <c r="BN350" s="1708"/>
      <c r="BO350" s="1708"/>
      <c r="BP350" s="1708"/>
      <c r="BQ350" s="1708"/>
      <c r="BR350" s="1708"/>
      <c r="BS350" s="1708"/>
      <c r="BT350" s="1708"/>
      <c r="BU350" s="1708"/>
      <c r="BV350" s="1708"/>
      <c r="BW350" s="1708"/>
      <c r="BX350" s="1708"/>
      <c r="BY350" s="1708"/>
      <c r="BZ350" s="1708"/>
      <c r="CA350" s="1708"/>
      <c r="CB350" s="1708"/>
      <c r="CC350" s="1708"/>
      <c r="CD350" s="1708"/>
      <c r="CE350" s="1708"/>
      <c r="CF350" s="1708"/>
      <c r="CG350" s="1708"/>
      <c r="CH350" s="1708"/>
      <c r="CI350" s="1708"/>
      <c r="CJ350" s="1708"/>
      <c r="CK350" s="1708"/>
      <c r="CL350" s="1708"/>
      <c r="CM350" s="1708"/>
      <c r="CN350" s="1708"/>
      <c r="CO350" s="1708"/>
      <c r="CP350" s="1708"/>
      <c r="CQ350" s="1708"/>
      <c r="CR350" s="1708"/>
      <c r="CS350" s="1708"/>
      <c r="CT350" s="1708"/>
      <c r="CU350" s="1708"/>
      <c r="CV350" s="1708"/>
      <c r="CW350" s="1708"/>
      <c r="CX350" s="1708"/>
      <c r="CY350" s="1708"/>
      <c r="CZ350" s="1708"/>
      <c r="DA350" s="1708"/>
      <c r="DB350" s="1708"/>
      <c r="DC350" s="1708"/>
      <c r="DD350" s="1708"/>
      <c r="DE350" s="1708"/>
      <c r="DF350" s="1708"/>
      <c r="DG350" s="1708"/>
      <c r="DH350" s="1708"/>
      <c r="DI350" s="1708"/>
      <c r="DJ350" s="1708"/>
      <c r="DK350" s="1708"/>
      <c r="DL350" s="1708"/>
      <c r="DM350" s="1708"/>
      <c r="DN350" s="1708"/>
      <c r="DO350" s="1708"/>
      <c r="DP350" s="1708"/>
      <c r="DQ350" s="1708"/>
      <c r="DR350" s="1708"/>
      <c r="DS350" s="1708"/>
      <c r="DT350" s="1708"/>
      <c r="DU350" s="1708"/>
      <c r="DV350" s="1708"/>
      <c r="DW350" s="1708"/>
      <c r="DX350" s="1708"/>
      <c r="DY350" s="1708"/>
      <c r="DZ350" s="1708"/>
      <c r="EA350" s="1708"/>
      <c r="EB350" s="1708"/>
      <c r="EC350" s="1708"/>
      <c r="ED350" s="1708"/>
      <c r="EE350" s="1708"/>
      <c r="EF350" s="1708"/>
      <c r="EG350" s="1708"/>
      <c r="EH350" s="1708"/>
      <c r="EI350" s="1708"/>
      <c r="EJ350" s="1708"/>
      <c r="EK350" s="1708"/>
      <c r="EL350" s="1708"/>
      <c r="EM350" s="1708"/>
      <c r="EN350" s="1708"/>
      <c r="EO350" s="1708"/>
      <c r="EP350" s="1708"/>
      <c r="EQ350" s="1708"/>
      <c r="ER350" s="1708"/>
      <c r="ES350" s="1708"/>
      <c r="ET350" s="1708"/>
      <c r="EU350" s="1708"/>
      <c r="EV350" s="1708"/>
      <c r="EW350" s="1708"/>
      <c r="EX350" s="1708"/>
      <c r="EY350" s="1708"/>
      <c r="EZ350" s="1708"/>
      <c r="FA350" s="1708"/>
      <c r="FB350" s="1708"/>
      <c r="FC350" s="1708"/>
      <c r="FD350" s="1708"/>
      <c r="FE350" s="1708"/>
      <c r="FF350" s="1708"/>
      <c r="FG350" s="1708"/>
      <c r="FH350" s="1708"/>
      <c r="FI350" s="1708"/>
      <c r="FJ350" s="1708"/>
      <c r="FK350" s="1708"/>
      <c r="FL350" s="1708"/>
      <c r="FM350" s="1708"/>
      <c r="FN350" s="1708"/>
      <c r="FO350" s="1708"/>
      <c r="FP350" s="1708"/>
      <c r="FQ350" s="1708"/>
      <c r="FR350" s="1708"/>
      <c r="FS350" s="1708"/>
      <c r="FT350" s="1708"/>
      <c r="FU350" s="1708"/>
      <c r="FV350" s="1708"/>
      <c r="FW350" s="1708"/>
      <c r="FX350" s="1708"/>
      <c r="FY350" s="1708"/>
      <c r="FZ350" s="1708"/>
      <c r="GA350" s="1708"/>
      <c r="GB350" s="1708"/>
      <c r="GC350" s="1708"/>
      <c r="GD350" s="1708"/>
      <c r="GE350" s="1708"/>
      <c r="GF350" s="1708"/>
      <c r="GG350" s="1708"/>
      <c r="GH350" s="1708"/>
      <c r="GI350" s="1708"/>
      <c r="GJ350" s="1708"/>
      <c r="GK350" s="1708"/>
      <c r="GL350" s="1708"/>
      <c r="GM350" s="1708"/>
      <c r="GN350" s="1708"/>
      <c r="GO350" s="1708"/>
      <c r="GP350" s="1708"/>
      <c r="GQ350" s="1708"/>
      <c r="GR350" s="1708"/>
      <c r="GS350" s="1708"/>
      <c r="GT350" s="1708"/>
      <c r="GU350" s="1708"/>
      <c r="GV350" s="1708"/>
      <c r="GW350" s="1708"/>
      <c r="GX350" s="1708"/>
      <c r="GY350" s="1708"/>
      <c r="GZ350" s="1708"/>
      <c r="HA350" s="1708"/>
      <c r="HB350" s="1708"/>
      <c r="HC350" s="1708"/>
      <c r="HD350" s="1708"/>
      <c r="HE350" s="1708"/>
      <c r="HF350" s="1708"/>
      <c r="HG350" s="1708"/>
      <c r="HH350" s="1708"/>
      <c r="HI350" s="1708"/>
      <c r="HJ350" s="1708"/>
      <c r="HK350" s="1708"/>
      <c r="HL350" s="1708"/>
      <c r="HM350" s="1708"/>
      <c r="HN350" s="1708"/>
      <c r="HO350" s="1708"/>
      <c r="HP350" s="1708"/>
      <c r="HQ350" s="1708"/>
      <c r="HR350" s="1708"/>
      <c r="HS350" s="1708"/>
      <c r="HT350" s="1708"/>
      <c r="HU350" s="1708"/>
      <c r="HV350" s="1708"/>
      <c r="HW350" s="1708"/>
      <c r="HX350" s="1708"/>
      <c r="HY350" s="1708"/>
      <c r="HZ350" s="1708"/>
      <c r="IA350" s="1708"/>
      <c r="IB350" s="1708"/>
      <c r="IC350" s="1708"/>
      <c r="ID350" s="1708"/>
      <c r="IE350" s="1708"/>
      <c r="IF350" s="1708"/>
      <c r="IG350" s="1708"/>
      <c r="IH350" s="1708"/>
      <c r="II350" s="1708"/>
      <c r="IJ350" s="1708"/>
      <c r="IK350" s="1708"/>
      <c r="IL350" s="1708"/>
      <c r="IM350" s="1708"/>
      <c r="IN350" s="1708"/>
      <c r="IO350" s="1708"/>
      <c r="IP350" s="1708"/>
      <c r="IQ350" s="1708"/>
      <c r="IR350" s="1708"/>
      <c r="IS350" s="1708"/>
      <c r="IT350" s="1708"/>
      <c r="IU350" s="1708"/>
      <c r="IV350" s="1708"/>
    </row>
    <row r="351" spans="2:256" s="57" customFormat="1" x14ac:dyDescent="0.25">
      <c r="B351" s="1836"/>
      <c r="G351" s="1849"/>
      <c r="J351" s="1850"/>
      <c r="K351" s="1850"/>
      <c r="S351" s="1708"/>
      <c r="T351" s="1708"/>
      <c r="U351" s="1708"/>
      <c r="V351" s="1708"/>
      <c r="W351" s="1708"/>
      <c r="X351" s="1708"/>
      <c r="Y351" s="1708"/>
      <c r="Z351" s="1708"/>
      <c r="AA351" s="1708"/>
      <c r="AB351" s="1708"/>
      <c r="AC351" s="1708"/>
      <c r="AD351" s="1708"/>
      <c r="AE351" s="1708"/>
      <c r="AF351" s="1708"/>
      <c r="AG351" s="1708"/>
      <c r="AH351" s="1708"/>
      <c r="AI351" s="1708"/>
      <c r="AJ351" s="1708"/>
      <c r="AK351" s="1708"/>
      <c r="AL351" s="1708"/>
      <c r="AM351" s="1708"/>
      <c r="AN351" s="1708"/>
      <c r="AO351" s="1708"/>
      <c r="AP351" s="1708"/>
      <c r="AQ351" s="1708"/>
      <c r="AR351" s="1708"/>
      <c r="AS351" s="1708"/>
      <c r="AT351" s="1708"/>
      <c r="AU351" s="1708"/>
      <c r="AV351" s="1708"/>
      <c r="AW351" s="1708"/>
      <c r="AX351" s="1708"/>
      <c r="AY351" s="1708"/>
      <c r="AZ351" s="1708"/>
      <c r="BA351" s="1708"/>
      <c r="BB351" s="1708"/>
      <c r="BC351" s="1708"/>
      <c r="BD351" s="1708"/>
      <c r="BE351" s="1708"/>
      <c r="BF351" s="1708"/>
      <c r="BG351" s="1708"/>
      <c r="BH351" s="1708"/>
      <c r="BI351" s="1708"/>
      <c r="BJ351" s="1708"/>
      <c r="BK351" s="1708"/>
      <c r="BL351" s="1708"/>
      <c r="BM351" s="1708"/>
      <c r="BN351" s="1708"/>
      <c r="BO351" s="1708"/>
      <c r="BP351" s="1708"/>
      <c r="BQ351" s="1708"/>
      <c r="BR351" s="1708"/>
      <c r="BS351" s="1708"/>
      <c r="BT351" s="1708"/>
      <c r="BU351" s="1708"/>
      <c r="BV351" s="1708"/>
      <c r="BW351" s="1708"/>
      <c r="BX351" s="1708"/>
      <c r="BY351" s="1708"/>
      <c r="BZ351" s="1708"/>
      <c r="CA351" s="1708"/>
      <c r="CB351" s="1708"/>
      <c r="CC351" s="1708"/>
      <c r="CD351" s="1708"/>
      <c r="CE351" s="1708"/>
      <c r="CF351" s="1708"/>
      <c r="CG351" s="1708"/>
      <c r="CH351" s="1708"/>
      <c r="CI351" s="1708"/>
      <c r="CJ351" s="1708"/>
      <c r="CK351" s="1708"/>
      <c r="CL351" s="1708"/>
      <c r="CM351" s="1708"/>
      <c r="CN351" s="1708"/>
      <c r="CO351" s="1708"/>
      <c r="CP351" s="1708"/>
      <c r="CQ351" s="1708"/>
      <c r="CR351" s="1708"/>
      <c r="CS351" s="1708"/>
      <c r="CT351" s="1708"/>
      <c r="CU351" s="1708"/>
      <c r="CV351" s="1708"/>
      <c r="CW351" s="1708"/>
      <c r="CX351" s="1708"/>
      <c r="CY351" s="1708"/>
      <c r="CZ351" s="1708"/>
      <c r="DA351" s="1708"/>
      <c r="DB351" s="1708"/>
      <c r="DC351" s="1708"/>
      <c r="DD351" s="1708"/>
      <c r="DE351" s="1708"/>
      <c r="DF351" s="1708"/>
      <c r="DG351" s="1708"/>
      <c r="DH351" s="1708"/>
      <c r="DI351" s="1708"/>
      <c r="DJ351" s="1708"/>
      <c r="DK351" s="1708"/>
      <c r="DL351" s="1708"/>
      <c r="DM351" s="1708"/>
      <c r="DN351" s="1708"/>
      <c r="DO351" s="1708"/>
      <c r="DP351" s="1708"/>
      <c r="DQ351" s="1708"/>
      <c r="DR351" s="1708"/>
      <c r="DS351" s="1708"/>
      <c r="DT351" s="1708"/>
      <c r="DU351" s="1708"/>
      <c r="DV351" s="1708"/>
      <c r="DW351" s="1708"/>
      <c r="DX351" s="1708"/>
      <c r="DY351" s="1708"/>
      <c r="DZ351" s="1708"/>
      <c r="EA351" s="1708"/>
      <c r="EB351" s="1708"/>
      <c r="EC351" s="1708"/>
      <c r="ED351" s="1708"/>
      <c r="EE351" s="1708"/>
      <c r="EF351" s="1708"/>
      <c r="EG351" s="1708"/>
      <c r="EH351" s="1708"/>
      <c r="EI351" s="1708"/>
      <c r="EJ351" s="1708"/>
      <c r="EK351" s="1708"/>
      <c r="EL351" s="1708"/>
      <c r="EM351" s="1708"/>
      <c r="EN351" s="1708"/>
      <c r="EO351" s="1708"/>
      <c r="EP351" s="1708"/>
      <c r="EQ351" s="1708"/>
      <c r="ER351" s="1708"/>
      <c r="ES351" s="1708"/>
      <c r="ET351" s="1708"/>
      <c r="EU351" s="1708"/>
      <c r="EV351" s="1708"/>
      <c r="EW351" s="1708"/>
      <c r="EX351" s="1708"/>
      <c r="EY351" s="1708"/>
      <c r="EZ351" s="1708"/>
      <c r="FA351" s="1708"/>
      <c r="FB351" s="1708"/>
      <c r="FC351" s="1708"/>
      <c r="FD351" s="1708"/>
      <c r="FE351" s="1708"/>
      <c r="FF351" s="1708"/>
      <c r="FG351" s="1708"/>
      <c r="FH351" s="1708"/>
      <c r="FI351" s="1708"/>
      <c r="FJ351" s="1708"/>
      <c r="FK351" s="1708"/>
      <c r="FL351" s="1708"/>
      <c r="FM351" s="1708"/>
      <c r="FN351" s="1708"/>
      <c r="FO351" s="1708"/>
      <c r="FP351" s="1708"/>
      <c r="FQ351" s="1708"/>
      <c r="FR351" s="1708"/>
      <c r="FS351" s="1708"/>
      <c r="FT351" s="1708"/>
      <c r="FU351" s="1708"/>
      <c r="FV351" s="1708"/>
      <c r="FW351" s="1708"/>
      <c r="FX351" s="1708"/>
      <c r="FY351" s="1708"/>
      <c r="FZ351" s="1708"/>
      <c r="GA351" s="1708"/>
      <c r="GB351" s="1708"/>
      <c r="GC351" s="1708"/>
      <c r="GD351" s="1708"/>
      <c r="GE351" s="1708"/>
      <c r="GF351" s="1708"/>
      <c r="GG351" s="1708"/>
      <c r="GH351" s="1708"/>
      <c r="GI351" s="1708"/>
      <c r="GJ351" s="1708"/>
      <c r="GK351" s="1708"/>
      <c r="GL351" s="1708"/>
      <c r="GM351" s="1708"/>
      <c r="GN351" s="1708"/>
      <c r="GO351" s="1708"/>
      <c r="GP351" s="1708"/>
      <c r="GQ351" s="1708"/>
      <c r="GR351" s="1708"/>
      <c r="GS351" s="1708"/>
      <c r="GT351" s="1708"/>
      <c r="GU351" s="1708"/>
      <c r="GV351" s="1708"/>
      <c r="GW351" s="1708"/>
      <c r="GX351" s="1708"/>
      <c r="GY351" s="1708"/>
      <c r="GZ351" s="1708"/>
      <c r="HA351" s="1708"/>
      <c r="HB351" s="1708"/>
      <c r="HC351" s="1708"/>
      <c r="HD351" s="1708"/>
      <c r="HE351" s="1708"/>
      <c r="HF351" s="1708"/>
      <c r="HG351" s="1708"/>
      <c r="HH351" s="1708"/>
      <c r="HI351" s="1708"/>
      <c r="HJ351" s="1708"/>
      <c r="HK351" s="1708"/>
      <c r="HL351" s="1708"/>
      <c r="HM351" s="1708"/>
      <c r="HN351" s="1708"/>
      <c r="HO351" s="1708"/>
      <c r="HP351" s="1708"/>
      <c r="HQ351" s="1708"/>
      <c r="HR351" s="1708"/>
      <c r="HS351" s="1708"/>
      <c r="HT351" s="1708"/>
      <c r="HU351" s="1708"/>
      <c r="HV351" s="1708"/>
      <c r="HW351" s="1708"/>
      <c r="HX351" s="1708"/>
      <c r="HY351" s="1708"/>
      <c r="HZ351" s="1708"/>
      <c r="IA351" s="1708"/>
      <c r="IB351" s="1708"/>
      <c r="IC351" s="1708"/>
      <c r="ID351" s="1708"/>
      <c r="IE351" s="1708"/>
      <c r="IF351" s="1708"/>
      <c r="IG351" s="1708"/>
      <c r="IH351" s="1708"/>
      <c r="II351" s="1708"/>
      <c r="IJ351" s="1708"/>
      <c r="IK351" s="1708"/>
      <c r="IL351" s="1708"/>
      <c r="IM351" s="1708"/>
      <c r="IN351" s="1708"/>
      <c r="IO351" s="1708"/>
      <c r="IP351" s="1708"/>
      <c r="IQ351" s="1708"/>
      <c r="IR351" s="1708"/>
      <c r="IS351" s="1708"/>
      <c r="IT351" s="1708"/>
      <c r="IU351" s="1708"/>
      <c r="IV351" s="1708"/>
    </row>
    <row r="352" spans="2:256" s="57" customFormat="1" x14ac:dyDescent="0.25">
      <c r="B352" s="1836"/>
      <c r="G352" s="1849"/>
      <c r="J352" s="1850"/>
      <c r="K352" s="1850"/>
      <c r="S352" s="1708"/>
      <c r="T352" s="1708"/>
      <c r="U352" s="1708"/>
      <c r="V352" s="1708"/>
      <c r="W352" s="1708"/>
      <c r="X352" s="1708"/>
      <c r="Y352" s="1708"/>
      <c r="Z352" s="1708"/>
      <c r="AA352" s="1708"/>
      <c r="AB352" s="1708"/>
      <c r="AC352" s="1708"/>
      <c r="AD352" s="1708"/>
      <c r="AE352" s="1708"/>
      <c r="AF352" s="1708"/>
      <c r="AG352" s="1708"/>
      <c r="AH352" s="1708"/>
      <c r="AI352" s="1708"/>
      <c r="AJ352" s="1708"/>
      <c r="AK352" s="1708"/>
      <c r="AL352" s="1708"/>
      <c r="AM352" s="1708"/>
      <c r="AN352" s="1708"/>
      <c r="AO352" s="1708"/>
      <c r="AP352" s="1708"/>
      <c r="AQ352" s="1708"/>
      <c r="AR352" s="1708"/>
      <c r="AS352" s="1708"/>
      <c r="AT352" s="1708"/>
      <c r="AU352" s="1708"/>
      <c r="AV352" s="1708"/>
      <c r="AW352" s="1708"/>
      <c r="AX352" s="1708"/>
      <c r="AY352" s="1708"/>
      <c r="AZ352" s="1708"/>
      <c r="BA352" s="1708"/>
      <c r="BB352" s="1708"/>
      <c r="BC352" s="1708"/>
      <c r="BD352" s="1708"/>
      <c r="BE352" s="1708"/>
      <c r="BF352" s="1708"/>
      <c r="BG352" s="1708"/>
      <c r="BH352" s="1708"/>
      <c r="BI352" s="1708"/>
      <c r="BJ352" s="1708"/>
      <c r="BK352" s="1708"/>
      <c r="BL352" s="1708"/>
      <c r="BM352" s="1708"/>
      <c r="BN352" s="1708"/>
      <c r="BO352" s="1708"/>
      <c r="BP352" s="1708"/>
      <c r="BQ352" s="1708"/>
      <c r="BR352" s="1708"/>
      <c r="BS352" s="1708"/>
      <c r="BT352" s="1708"/>
      <c r="BU352" s="1708"/>
      <c r="BV352" s="1708"/>
      <c r="BW352" s="1708"/>
      <c r="BX352" s="1708"/>
      <c r="BY352" s="1708"/>
      <c r="BZ352" s="1708"/>
      <c r="CA352" s="1708"/>
      <c r="CB352" s="1708"/>
      <c r="CC352" s="1708"/>
      <c r="CD352" s="1708"/>
      <c r="CE352" s="1708"/>
      <c r="CF352" s="1708"/>
      <c r="CG352" s="1708"/>
      <c r="CH352" s="1708"/>
      <c r="CI352" s="1708"/>
      <c r="CJ352" s="1708"/>
      <c r="CK352" s="1708"/>
      <c r="CL352" s="1708"/>
      <c r="CM352" s="1708"/>
      <c r="CN352" s="1708"/>
      <c r="CO352" s="1708"/>
      <c r="CP352" s="1708"/>
      <c r="CQ352" s="1708"/>
      <c r="CR352" s="1708"/>
      <c r="CS352" s="1708"/>
      <c r="CT352" s="1708"/>
      <c r="CU352" s="1708"/>
      <c r="CV352" s="1708"/>
      <c r="CW352" s="1708"/>
      <c r="CX352" s="1708"/>
      <c r="CY352" s="1708"/>
      <c r="CZ352" s="1708"/>
      <c r="DA352" s="1708"/>
      <c r="DB352" s="1708"/>
      <c r="DC352" s="1708"/>
      <c r="DD352" s="1708"/>
      <c r="DE352" s="1708"/>
      <c r="DF352" s="1708"/>
      <c r="DG352" s="1708"/>
      <c r="DH352" s="1708"/>
      <c r="DI352" s="1708"/>
      <c r="DJ352" s="1708"/>
      <c r="DK352" s="1708"/>
      <c r="DL352" s="1708"/>
      <c r="DM352" s="1708"/>
      <c r="DN352" s="1708"/>
      <c r="DO352" s="1708"/>
      <c r="DP352" s="1708"/>
      <c r="DQ352" s="1708"/>
      <c r="DR352" s="1708"/>
      <c r="DS352" s="1708"/>
      <c r="DT352" s="1708"/>
      <c r="DU352" s="1708"/>
      <c r="DV352" s="1708"/>
      <c r="DW352" s="1708"/>
      <c r="DX352" s="1708"/>
      <c r="DY352" s="1708"/>
      <c r="DZ352" s="1708"/>
      <c r="EA352" s="1708"/>
      <c r="EB352" s="1708"/>
      <c r="EC352" s="1708"/>
      <c r="ED352" s="1708"/>
      <c r="EE352" s="1708"/>
      <c r="EF352" s="1708"/>
      <c r="EG352" s="1708"/>
      <c r="EH352" s="1708"/>
      <c r="EI352" s="1708"/>
      <c r="EJ352" s="1708"/>
      <c r="EK352" s="1708"/>
      <c r="EL352" s="1708"/>
      <c r="EM352" s="1708"/>
      <c r="EN352" s="1708"/>
      <c r="EO352" s="1708"/>
      <c r="EP352" s="1708"/>
      <c r="EQ352" s="1708"/>
      <c r="ER352" s="1708"/>
      <c r="ES352" s="1708"/>
      <c r="ET352" s="1708"/>
      <c r="EU352" s="1708"/>
      <c r="EV352" s="1708"/>
      <c r="EW352" s="1708"/>
      <c r="EX352" s="1708"/>
      <c r="EY352" s="1708"/>
      <c r="EZ352" s="1708"/>
      <c r="FA352" s="1708"/>
      <c r="FB352" s="1708"/>
      <c r="FC352" s="1708"/>
      <c r="FD352" s="1708"/>
      <c r="FE352" s="1708"/>
      <c r="FF352" s="1708"/>
      <c r="FG352" s="1708"/>
      <c r="FH352" s="1708"/>
      <c r="FI352" s="1708"/>
      <c r="FJ352" s="1708"/>
      <c r="FK352" s="1708"/>
      <c r="FL352" s="1708"/>
      <c r="FM352" s="1708"/>
      <c r="FN352" s="1708"/>
      <c r="FO352" s="1708"/>
      <c r="FP352" s="1708"/>
      <c r="FQ352" s="1708"/>
      <c r="FR352" s="1708"/>
      <c r="FS352" s="1708"/>
      <c r="FT352" s="1708"/>
      <c r="FU352" s="1708"/>
      <c r="FV352" s="1708"/>
      <c r="FW352" s="1708"/>
      <c r="FX352" s="1708"/>
      <c r="FY352" s="1708"/>
      <c r="FZ352" s="1708"/>
      <c r="GA352" s="1708"/>
      <c r="GB352" s="1708"/>
      <c r="GC352" s="1708"/>
      <c r="GD352" s="1708"/>
      <c r="GE352" s="1708"/>
      <c r="GF352" s="1708"/>
      <c r="GG352" s="1708"/>
      <c r="GH352" s="1708"/>
      <c r="GI352" s="1708"/>
      <c r="GJ352" s="1708"/>
      <c r="GK352" s="1708"/>
      <c r="GL352" s="1708"/>
      <c r="GM352" s="1708"/>
      <c r="GN352" s="1708"/>
      <c r="GO352" s="1708"/>
      <c r="GP352" s="1708"/>
      <c r="GQ352" s="1708"/>
      <c r="GR352" s="1708"/>
      <c r="GS352" s="1708"/>
      <c r="GT352" s="1708"/>
      <c r="GU352" s="1708"/>
      <c r="GV352" s="1708"/>
      <c r="GW352" s="1708"/>
      <c r="GX352" s="1708"/>
      <c r="GY352" s="1708"/>
      <c r="GZ352" s="1708"/>
      <c r="HA352" s="1708"/>
      <c r="HB352" s="1708"/>
      <c r="HC352" s="1708"/>
      <c r="HD352" s="1708"/>
      <c r="HE352" s="1708"/>
      <c r="HF352" s="1708"/>
      <c r="HG352" s="1708"/>
      <c r="HH352" s="1708"/>
      <c r="HI352" s="1708"/>
      <c r="HJ352" s="1708"/>
      <c r="HK352" s="1708"/>
      <c r="HL352" s="1708"/>
      <c r="HM352" s="1708"/>
      <c r="HN352" s="1708"/>
      <c r="HO352" s="1708"/>
      <c r="HP352" s="1708"/>
      <c r="HQ352" s="1708"/>
      <c r="HR352" s="1708"/>
      <c r="HS352" s="1708"/>
      <c r="HT352" s="1708"/>
      <c r="HU352" s="1708"/>
      <c r="HV352" s="1708"/>
      <c r="HW352" s="1708"/>
      <c r="HX352" s="1708"/>
      <c r="HY352" s="1708"/>
      <c r="HZ352" s="1708"/>
      <c r="IA352" s="1708"/>
      <c r="IB352" s="1708"/>
      <c r="IC352" s="1708"/>
      <c r="ID352" s="1708"/>
      <c r="IE352" s="1708"/>
      <c r="IF352" s="1708"/>
      <c r="IG352" s="1708"/>
      <c r="IH352" s="1708"/>
      <c r="II352" s="1708"/>
      <c r="IJ352" s="1708"/>
      <c r="IK352" s="1708"/>
      <c r="IL352" s="1708"/>
      <c r="IM352" s="1708"/>
      <c r="IN352" s="1708"/>
      <c r="IO352" s="1708"/>
      <c r="IP352" s="1708"/>
      <c r="IQ352" s="1708"/>
      <c r="IR352" s="1708"/>
      <c r="IS352" s="1708"/>
      <c r="IT352" s="1708"/>
      <c r="IU352" s="1708"/>
      <c r="IV352" s="1708"/>
    </row>
    <row r="353" spans="2:256" s="57" customFormat="1" x14ac:dyDescent="0.25">
      <c r="B353" s="1836"/>
      <c r="G353" s="1849"/>
      <c r="J353" s="1850"/>
      <c r="K353" s="1850"/>
      <c r="S353" s="1708"/>
      <c r="T353" s="1708"/>
      <c r="U353" s="1708"/>
      <c r="V353" s="1708"/>
      <c r="W353" s="1708"/>
      <c r="X353" s="1708"/>
      <c r="Y353" s="1708"/>
      <c r="Z353" s="1708"/>
      <c r="AA353" s="1708"/>
      <c r="AB353" s="1708"/>
      <c r="AC353" s="1708"/>
      <c r="AD353" s="1708"/>
      <c r="AE353" s="1708"/>
      <c r="AF353" s="1708"/>
      <c r="AG353" s="1708"/>
      <c r="AH353" s="1708"/>
      <c r="AI353" s="1708"/>
      <c r="AJ353" s="1708"/>
      <c r="AK353" s="1708"/>
      <c r="AL353" s="1708"/>
      <c r="AM353" s="1708"/>
      <c r="AN353" s="1708"/>
      <c r="AO353" s="1708"/>
      <c r="AP353" s="1708"/>
      <c r="AQ353" s="1708"/>
      <c r="AR353" s="1708"/>
      <c r="AS353" s="1708"/>
      <c r="AT353" s="1708"/>
      <c r="AU353" s="1708"/>
      <c r="AV353" s="1708"/>
      <c r="AW353" s="1708"/>
      <c r="AX353" s="1708"/>
      <c r="AY353" s="1708"/>
      <c r="AZ353" s="1708"/>
      <c r="BA353" s="1708"/>
      <c r="BB353" s="1708"/>
      <c r="BC353" s="1708"/>
      <c r="BD353" s="1708"/>
      <c r="BE353" s="1708"/>
      <c r="BF353" s="1708"/>
      <c r="BG353" s="1708"/>
      <c r="BH353" s="1708"/>
      <c r="BI353" s="1708"/>
      <c r="BJ353" s="1708"/>
      <c r="BK353" s="1708"/>
      <c r="BL353" s="1708"/>
      <c r="BM353" s="1708"/>
      <c r="BN353" s="1708"/>
      <c r="BO353" s="1708"/>
      <c r="BP353" s="1708"/>
      <c r="BQ353" s="1708"/>
      <c r="BR353" s="1708"/>
      <c r="BS353" s="1708"/>
      <c r="BT353" s="1708"/>
      <c r="BU353" s="1708"/>
      <c r="BV353" s="1708"/>
      <c r="BW353" s="1708"/>
      <c r="BX353" s="1708"/>
      <c r="BY353" s="1708"/>
      <c r="BZ353" s="1708"/>
      <c r="CA353" s="1708"/>
      <c r="CB353" s="1708"/>
      <c r="CC353" s="1708"/>
      <c r="CD353" s="1708"/>
      <c r="CE353" s="1708"/>
      <c r="CF353" s="1708"/>
      <c r="CG353" s="1708"/>
      <c r="CH353" s="1708"/>
      <c r="CI353" s="1708"/>
      <c r="CJ353" s="1708"/>
      <c r="CK353" s="1708"/>
      <c r="CL353" s="1708"/>
      <c r="CM353" s="1708"/>
      <c r="CN353" s="1708"/>
      <c r="CO353" s="1708"/>
      <c r="CP353" s="1708"/>
      <c r="CQ353" s="1708"/>
      <c r="CR353" s="1708"/>
      <c r="CS353" s="1708"/>
      <c r="CT353" s="1708"/>
      <c r="CU353" s="1708"/>
      <c r="CV353" s="1708"/>
      <c r="CW353" s="1708"/>
      <c r="CX353" s="1708"/>
      <c r="CY353" s="1708"/>
      <c r="CZ353" s="1708"/>
      <c r="DA353" s="1708"/>
      <c r="DB353" s="1708"/>
      <c r="DC353" s="1708"/>
      <c r="DD353" s="1708"/>
      <c r="DE353" s="1708"/>
      <c r="DF353" s="1708"/>
      <c r="DG353" s="1708"/>
      <c r="DH353" s="1708"/>
      <c r="DI353" s="1708"/>
      <c r="DJ353" s="1708"/>
      <c r="DK353" s="1708"/>
      <c r="DL353" s="1708"/>
      <c r="DM353" s="1708"/>
      <c r="DN353" s="1708"/>
      <c r="DO353" s="1708"/>
      <c r="DP353" s="1708"/>
      <c r="DQ353" s="1708"/>
      <c r="DR353" s="1708"/>
      <c r="DS353" s="1708"/>
      <c r="DT353" s="1708"/>
      <c r="DU353" s="1708"/>
      <c r="DV353" s="1708"/>
      <c r="DW353" s="1708"/>
      <c r="DX353" s="1708"/>
      <c r="DY353" s="1708"/>
      <c r="DZ353" s="1708"/>
      <c r="EA353" s="1708"/>
      <c r="EB353" s="1708"/>
      <c r="EC353" s="1708"/>
      <c r="ED353" s="1708"/>
      <c r="EE353" s="1708"/>
      <c r="EF353" s="1708"/>
      <c r="EG353" s="1708"/>
      <c r="EH353" s="1708"/>
      <c r="EI353" s="1708"/>
      <c r="EJ353" s="1708"/>
      <c r="EK353" s="1708"/>
      <c r="EL353" s="1708"/>
      <c r="EM353" s="1708"/>
      <c r="EN353" s="1708"/>
      <c r="EO353" s="1708"/>
      <c r="EP353" s="1708"/>
      <c r="EQ353" s="1708"/>
      <c r="ER353" s="1708"/>
      <c r="ES353" s="1708"/>
      <c r="ET353" s="1708"/>
      <c r="EU353" s="1708"/>
      <c r="EV353" s="1708"/>
      <c r="EW353" s="1708"/>
      <c r="EX353" s="1708"/>
      <c r="EY353" s="1708"/>
      <c r="EZ353" s="1708"/>
      <c r="FA353" s="1708"/>
      <c r="FB353" s="1708"/>
      <c r="FC353" s="1708"/>
      <c r="FD353" s="1708"/>
      <c r="FE353" s="1708"/>
      <c r="FF353" s="1708"/>
      <c r="FG353" s="1708"/>
      <c r="FH353" s="1708"/>
      <c r="FI353" s="1708"/>
      <c r="FJ353" s="1708"/>
      <c r="FK353" s="1708"/>
      <c r="FL353" s="1708"/>
      <c r="FM353" s="1708"/>
      <c r="FN353" s="1708"/>
      <c r="FO353" s="1708"/>
      <c r="FP353" s="1708"/>
      <c r="FQ353" s="1708"/>
      <c r="FR353" s="1708"/>
      <c r="FS353" s="1708"/>
      <c r="FT353" s="1708"/>
      <c r="FU353" s="1708"/>
      <c r="FV353" s="1708"/>
      <c r="FW353" s="1708"/>
      <c r="FX353" s="1708"/>
      <c r="FY353" s="1708"/>
      <c r="FZ353" s="1708"/>
      <c r="GA353" s="1708"/>
      <c r="GB353" s="1708"/>
      <c r="GC353" s="1708"/>
      <c r="GD353" s="1708"/>
      <c r="GE353" s="1708"/>
      <c r="GF353" s="1708"/>
      <c r="GG353" s="1708"/>
      <c r="GH353" s="1708"/>
      <c r="GI353" s="1708"/>
      <c r="GJ353" s="1708"/>
      <c r="GK353" s="1708"/>
      <c r="GL353" s="1708"/>
      <c r="GM353" s="1708"/>
      <c r="GN353" s="1708"/>
      <c r="GO353" s="1708"/>
      <c r="GP353" s="1708"/>
      <c r="GQ353" s="1708"/>
      <c r="GR353" s="1708"/>
      <c r="GS353" s="1708"/>
      <c r="GT353" s="1708"/>
      <c r="GU353" s="1708"/>
      <c r="GV353" s="1708"/>
      <c r="GW353" s="1708"/>
      <c r="GX353" s="1708"/>
      <c r="GY353" s="1708"/>
      <c r="GZ353" s="1708"/>
      <c r="HA353" s="1708"/>
      <c r="HB353" s="1708"/>
      <c r="HC353" s="1708"/>
      <c r="HD353" s="1708"/>
      <c r="HE353" s="1708"/>
      <c r="HF353" s="1708"/>
      <c r="HG353" s="1708"/>
      <c r="HH353" s="1708"/>
      <c r="HI353" s="1708"/>
      <c r="HJ353" s="1708"/>
      <c r="HK353" s="1708"/>
      <c r="HL353" s="1708"/>
      <c r="HM353" s="1708"/>
      <c r="HN353" s="1708"/>
      <c r="HO353" s="1708"/>
      <c r="HP353" s="1708"/>
      <c r="HQ353" s="1708"/>
      <c r="HR353" s="1708"/>
      <c r="HS353" s="1708"/>
      <c r="HT353" s="1708"/>
      <c r="HU353" s="1708"/>
      <c r="HV353" s="1708"/>
      <c r="HW353" s="1708"/>
      <c r="HX353" s="1708"/>
      <c r="HY353" s="1708"/>
      <c r="HZ353" s="1708"/>
      <c r="IA353" s="1708"/>
      <c r="IB353" s="1708"/>
      <c r="IC353" s="1708"/>
      <c r="ID353" s="1708"/>
      <c r="IE353" s="1708"/>
      <c r="IF353" s="1708"/>
      <c r="IG353" s="1708"/>
      <c r="IH353" s="1708"/>
      <c r="II353" s="1708"/>
      <c r="IJ353" s="1708"/>
      <c r="IK353" s="1708"/>
      <c r="IL353" s="1708"/>
      <c r="IM353" s="1708"/>
      <c r="IN353" s="1708"/>
      <c r="IO353" s="1708"/>
      <c r="IP353" s="1708"/>
      <c r="IQ353" s="1708"/>
      <c r="IR353" s="1708"/>
      <c r="IS353" s="1708"/>
      <c r="IT353" s="1708"/>
      <c r="IU353" s="1708"/>
      <c r="IV353" s="1708"/>
    </row>
    <row r="354" spans="2:256" s="57" customFormat="1" x14ac:dyDescent="0.25">
      <c r="B354" s="1836"/>
      <c r="G354" s="1849"/>
      <c r="J354" s="1850"/>
      <c r="K354" s="1850"/>
      <c r="S354" s="1708"/>
      <c r="T354" s="1708"/>
      <c r="U354" s="1708"/>
      <c r="V354" s="1708"/>
      <c r="W354" s="1708"/>
      <c r="X354" s="1708"/>
      <c r="Y354" s="1708"/>
      <c r="Z354" s="1708"/>
      <c r="AA354" s="1708"/>
      <c r="AB354" s="1708"/>
      <c r="AC354" s="1708"/>
      <c r="AD354" s="1708"/>
      <c r="AE354" s="1708"/>
      <c r="AF354" s="1708"/>
      <c r="AG354" s="1708"/>
      <c r="AH354" s="1708"/>
      <c r="AI354" s="1708"/>
      <c r="AJ354" s="1708"/>
      <c r="AK354" s="1708"/>
      <c r="AL354" s="1708"/>
      <c r="AM354" s="1708"/>
      <c r="AN354" s="1708"/>
      <c r="AO354" s="1708"/>
      <c r="AP354" s="1708"/>
      <c r="AQ354" s="1708"/>
      <c r="AR354" s="1708"/>
      <c r="AS354" s="1708"/>
      <c r="AT354" s="1708"/>
      <c r="AU354" s="1708"/>
      <c r="AV354" s="1708"/>
      <c r="AW354" s="1708"/>
      <c r="AX354" s="1708"/>
      <c r="AY354" s="1708"/>
      <c r="AZ354" s="1708"/>
      <c r="BA354" s="1708"/>
      <c r="BB354" s="1708"/>
      <c r="BC354" s="1708"/>
      <c r="BD354" s="1708"/>
      <c r="BE354" s="1708"/>
      <c r="BF354" s="1708"/>
      <c r="BG354" s="1708"/>
      <c r="BH354" s="1708"/>
      <c r="BI354" s="1708"/>
      <c r="BJ354" s="1708"/>
      <c r="BK354" s="1708"/>
      <c r="BL354" s="1708"/>
      <c r="BM354" s="1708"/>
      <c r="BN354" s="1708"/>
      <c r="BO354" s="1708"/>
      <c r="BP354" s="1708"/>
      <c r="BQ354" s="1708"/>
      <c r="BR354" s="1708"/>
      <c r="BS354" s="1708"/>
      <c r="BT354" s="1708"/>
      <c r="BU354" s="1708"/>
      <c r="BV354" s="1708"/>
      <c r="BW354" s="1708"/>
      <c r="BX354" s="1708"/>
      <c r="BY354" s="1708"/>
      <c r="BZ354" s="1708"/>
      <c r="CA354" s="1708"/>
      <c r="CB354" s="1708"/>
      <c r="CC354" s="1708"/>
      <c r="CD354" s="1708"/>
      <c r="CE354" s="1708"/>
      <c r="CF354" s="1708"/>
      <c r="CG354" s="1708"/>
      <c r="CH354" s="1708"/>
      <c r="CI354" s="1708"/>
      <c r="CJ354" s="1708"/>
      <c r="CK354" s="1708"/>
      <c r="CL354" s="1708"/>
      <c r="CM354" s="1708"/>
      <c r="CN354" s="1708"/>
      <c r="CO354" s="1708"/>
      <c r="CP354" s="1708"/>
      <c r="CQ354" s="1708"/>
      <c r="CR354" s="1708"/>
      <c r="CS354" s="1708"/>
      <c r="CT354" s="1708"/>
      <c r="CU354" s="1708"/>
      <c r="CV354" s="1708"/>
      <c r="CW354" s="1708"/>
      <c r="CX354" s="1708"/>
      <c r="CY354" s="1708"/>
      <c r="CZ354" s="1708"/>
      <c r="DA354" s="1708"/>
      <c r="DB354" s="1708"/>
      <c r="DC354" s="1708"/>
      <c r="DD354" s="1708"/>
      <c r="DE354" s="1708"/>
      <c r="DF354" s="1708"/>
      <c r="DG354" s="1708"/>
      <c r="DH354" s="1708"/>
      <c r="DI354" s="1708"/>
      <c r="DJ354" s="1708"/>
      <c r="DK354" s="1708"/>
      <c r="DL354" s="1708"/>
      <c r="DM354" s="1708"/>
      <c r="DN354" s="1708"/>
      <c r="DO354" s="1708"/>
      <c r="DP354" s="1708"/>
      <c r="DQ354" s="1708"/>
      <c r="DR354" s="1708"/>
      <c r="DS354" s="1708"/>
      <c r="DT354" s="1708"/>
      <c r="DU354" s="1708"/>
      <c r="DV354" s="1708"/>
      <c r="DW354" s="1708"/>
      <c r="DX354" s="1708"/>
      <c r="DY354" s="1708"/>
      <c r="DZ354" s="1708"/>
      <c r="EA354" s="1708"/>
      <c r="EB354" s="1708"/>
      <c r="EC354" s="1708"/>
      <c r="ED354" s="1708"/>
      <c r="EE354" s="1708"/>
      <c r="EF354" s="1708"/>
      <c r="EG354" s="1708"/>
      <c r="EH354" s="1708"/>
      <c r="EI354" s="1708"/>
      <c r="EJ354" s="1708"/>
      <c r="EK354" s="1708"/>
      <c r="EL354" s="1708"/>
      <c r="EM354" s="1708"/>
      <c r="EN354" s="1708"/>
      <c r="EO354" s="1708"/>
      <c r="EP354" s="1708"/>
      <c r="EQ354" s="1708"/>
      <c r="ER354" s="1708"/>
      <c r="ES354" s="1708"/>
      <c r="ET354" s="1708"/>
      <c r="EU354" s="1708"/>
      <c r="EV354" s="1708"/>
      <c r="EW354" s="1708"/>
      <c r="EX354" s="1708"/>
      <c r="EY354" s="1708"/>
      <c r="EZ354" s="1708"/>
      <c r="FA354" s="1708"/>
      <c r="FB354" s="1708"/>
      <c r="FC354" s="1708"/>
      <c r="FD354" s="1708"/>
      <c r="FE354" s="1708"/>
      <c r="FF354" s="1708"/>
      <c r="FG354" s="1708"/>
      <c r="FH354" s="1708"/>
      <c r="FI354" s="1708"/>
      <c r="FJ354" s="1708"/>
      <c r="FK354" s="1708"/>
      <c r="FL354" s="1708"/>
      <c r="FM354" s="1708"/>
      <c r="FN354" s="1708"/>
      <c r="FO354" s="1708"/>
      <c r="FP354" s="1708"/>
      <c r="FQ354" s="1708"/>
      <c r="FR354" s="1708"/>
      <c r="FS354" s="1708"/>
      <c r="FT354" s="1708"/>
      <c r="FU354" s="1708"/>
      <c r="FV354" s="1708"/>
      <c r="FW354" s="1708"/>
      <c r="FX354" s="1708"/>
      <c r="FY354" s="1708"/>
      <c r="FZ354" s="1708"/>
      <c r="GA354" s="1708"/>
      <c r="GB354" s="1708"/>
      <c r="GC354" s="1708"/>
      <c r="GD354" s="1708"/>
      <c r="GE354" s="1708"/>
      <c r="GF354" s="1708"/>
      <c r="GG354" s="1708"/>
      <c r="GH354" s="1708"/>
      <c r="GI354" s="1708"/>
      <c r="GJ354" s="1708"/>
      <c r="GK354" s="1708"/>
      <c r="GL354" s="1708"/>
      <c r="GM354" s="1708"/>
      <c r="GN354" s="1708"/>
      <c r="GO354" s="1708"/>
      <c r="GP354" s="1708"/>
      <c r="GQ354" s="1708"/>
      <c r="GR354" s="1708"/>
      <c r="GS354" s="1708"/>
      <c r="GT354" s="1708"/>
      <c r="GU354" s="1708"/>
      <c r="GV354" s="1708"/>
      <c r="GW354" s="1708"/>
      <c r="GX354" s="1708"/>
      <c r="GY354" s="1708"/>
      <c r="GZ354" s="1708"/>
      <c r="HA354" s="1708"/>
      <c r="HB354" s="1708"/>
      <c r="HC354" s="1708"/>
      <c r="HD354" s="1708"/>
      <c r="HE354" s="1708"/>
      <c r="HF354" s="1708"/>
      <c r="HG354" s="1708"/>
      <c r="HH354" s="1708"/>
      <c r="HI354" s="1708"/>
      <c r="HJ354" s="1708"/>
      <c r="HK354" s="1708"/>
      <c r="HL354" s="1708"/>
      <c r="HM354" s="1708"/>
      <c r="HN354" s="1708"/>
      <c r="HO354" s="1708"/>
      <c r="HP354" s="1708"/>
      <c r="HQ354" s="1708"/>
      <c r="HR354" s="1708"/>
      <c r="HS354" s="1708"/>
      <c r="HT354" s="1708"/>
      <c r="HU354" s="1708"/>
      <c r="HV354" s="1708"/>
      <c r="HW354" s="1708"/>
      <c r="HX354" s="1708"/>
      <c r="HY354" s="1708"/>
      <c r="HZ354" s="1708"/>
      <c r="IA354" s="1708"/>
      <c r="IB354" s="1708"/>
      <c r="IC354" s="1708"/>
      <c r="ID354" s="1708"/>
      <c r="IE354" s="1708"/>
      <c r="IF354" s="1708"/>
      <c r="IG354" s="1708"/>
      <c r="IH354" s="1708"/>
      <c r="II354" s="1708"/>
      <c r="IJ354" s="1708"/>
      <c r="IK354" s="1708"/>
      <c r="IL354" s="1708"/>
      <c r="IM354" s="1708"/>
      <c r="IN354" s="1708"/>
      <c r="IO354" s="1708"/>
      <c r="IP354" s="1708"/>
      <c r="IQ354" s="1708"/>
      <c r="IR354" s="1708"/>
      <c r="IS354" s="1708"/>
      <c r="IT354" s="1708"/>
      <c r="IU354" s="1708"/>
      <c r="IV354" s="1708"/>
    </row>
    <row r="355" spans="2:256" s="57" customFormat="1" x14ac:dyDescent="0.25">
      <c r="B355" s="1836"/>
      <c r="G355" s="1849"/>
      <c r="J355" s="1850"/>
      <c r="K355" s="1850"/>
      <c r="S355" s="1708"/>
      <c r="T355" s="1708"/>
      <c r="U355" s="1708"/>
      <c r="V355" s="1708"/>
      <c r="W355" s="1708"/>
      <c r="X355" s="1708"/>
      <c r="Y355" s="1708"/>
      <c r="Z355" s="1708"/>
      <c r="AA355" s="1708"/>
      <c r="AB355" s="1708"/>
      <c r="AC355" s="1708"/>
      <c r="AD355" s="1708"/>
      <c r="AE355" s="1708"/>
      <c r="AF355" s="1708"/>
      <c r="AG355" s="1708"/>
      <c r="AH355" s="1708"/>
      <c r="AI355" s="1708"/>
      <c r="AJ355" s="1708"/>
      <c r="AK355" s="1708"/>
      <c r="AL355" s="1708"/>
      <c r="AM355" s="1708"/>
      <c r="AN355" s="1708"/>
      <c r="AO355" s="1708"/>
      <c r="AP355" s="1708"/>
      <c r="AQ355" s="1708"/>
      <c r="AR355" s="1708"/>
      <c r="AS355" s="1708"/>
      <c r="AT355" s="1708"/>
      <c r="AU355" s="1708"/>
      <c r="AV355" s="1708"/>
      <c r="AW355" s="1708"/>
      <c r="AX355" s="1708"/>
      <c r="AY355" s="1708"/>
      <c r="AZ355" s="1708"/>
      <c r="BA355" s="1708"/>
      <c r="BB355" s="1708"/>
      <c r="BC355" s="1708"/>
      <c r="BD355" s="1708"/>
      <c r="BE355" s="1708"/>
      <c r="BF355" s="1708"/>
      <c r="BG355" s="1708"/>
      <c r="BH355" s="1708"/>
      <c r="BI355" s="1708"/>
      <c r="BJ355" s="1708"/>
      <c r="BK355" s="1708"/>
      <c r="BL355" s="1708"/>
      <c r="BM355" s="1708"/>
      <c r="BN355" s="1708"/>
      <c r="BO355" s="1708"/>
      <c r="BP355" s="1708"/>
      <c r="BQ355" s="1708"/>
      <c r="BR355" s="1708"/>
      <c r="BS355" s="1708"/>
      <c r="BT355" s="1708"/>
      <c r="BU355" s="1708"/>
      <c r="BV355" s="1708"/>
      <c r="BW355" s="1708"/>
      <c r="BX355" s="1708"/>
      <c r="BY355" s="1708"/>
      <c r="BZ355" s="1708"/>
      <c r="CA355" s="1708"/>
      <c r="CB355" s="1708"/>
      <c r="CC355" s="1708"/>
      <c r="CD355" s="1708"/>
      <c r="CE355" s="1708"/>
      <c r="CF355" s="1708"/>
      <c r="CG355" s="1708"/>
      <c r="CH355" s="1708"/>
      <c r="CI355" s="1708"/>
      <c r="CJ355" s="1708"/>
      <c r="CK355" s="1708"/>
      <c r="CL355" s="1708"/>
      <c r="CM355" s="1708"/>
      <c r="CN355" s="1708"/>
      <c r="CO355" s="1708"/>
      <c r="CP355" s="1708"/>
      <c r="CQ355" s="1708"/>
      <c r="CR355" s="1708"/>
      <c r="CS355" s="1708"/>
      <c r="CT355" s="1708"/>
      <c r="CU355" s="1708"/>
      <c r="CV355" s="1708"/>
      <c r="CW355" s="1708"/>
      <c r="CX355" s="1708"/>
      <c r="CY355" s="1708"/>
      <c r="CZ355" s="1708"/>
      <c r="DA355" s="1708"/>
      <c r="DB355" s="1708"/>
      <c r="DC355" s="1708"/>
      <c r="DD355" s="1708"/>
      <c r="DE355" s="1708"/>
      <c r="DF355" s="1708"/>
      <c r="DG355" s="1708"/>
      <c r="DH355" s="1708"/>
      <c r="DI355" s="1708"/>
      <c r="DJ355" s="1708"/>
      <c r="DK355" s="1708"/>
      <c r="DL355" s="1708"/>
      <c r="DM355" s="1708"/>
      <c r="DN355" s="1708"/>
      <c r="DO355" s="1708"/>
      <c r="DP355" s="1708"/>
      <c r="DQ355" s="1708"/>
      <c r="DR355" s="1708"/>
      <c r="DS355" s="1708"/>
      <c r="DT355" s="1708"/>
      <c r="DU355" s="1708"/>
      <c r="DV355" s="1708"/>
      <c r="DW355" s="1708"/>
      <c r="DX355" s="1708"/>
      <c r="DY355" s="1708"/>
      <c r="DZ355" s="1708"/>
      <c r="EA355" s="1708"/>
      <c r="EB355" s="1708"/>
      <c r="EC355" s="1708"/>
      <c r="ED355" s="1708"/>
      <c r="EE355" s="1708"/>
      <c r="EF355" s="1708"/>
      <c r="EG355" s="1708"/>
      <c r="EH355" s="1708"/>
      <c r="EI355" s="1708"/>
      <c r="EJ355" s="1708"/>
      <c r="EK355" s="1708"/>
      <c r="EL355" s="1708"/>
      <c r="EM355" s="1708"/>
      <c r="EN355" s="1708"/>
      <c r="EO355" s="1708"/>
      <c r="EP355" s="1708"/>
      <c r="EQ355" s="1708"/>
      <c r="ER355" s="1708"/>
      <c r="ES355" s="1708"/>
      <c r="ET355" s="1708"/>
      <c r="EU355" s="1708"/>
      <c r="EV355" s="1708"/>
      <c r="EW355" s="1708"/>
      <c r="EX355" s="1708"/>
      <c r="EY355" s="1708"/>
      <c r="EZ355" s="1708"/>
      <c r="FA355" s="1708"/>
      <c r="FB355" s="1708"/>
      <c r="FC355" s="1708"/>
      <c r="FD355" s="1708"/>
      <c r="FE355" s="1708"/>
      <c r="FF355" s="1708"/>
      <c r="FG355" s="1708"/>
      <c r="FH355" s="1708"/>
      <c r="FI355" s="1708"/>
      <c r="FJ355" s="1708"/>
      <c r="FK355" s="1708"/>
      <c r="FL355" s="1708"/>
      <c r="FM355" s="1708"/>
      <c r="FN355" s="1708"/>
      <c r="FO355" s="1708"/>
      <c r="FP355" s="1708"/>
      <c r="FQ355" s="1708"/>
      <c r="FR355" s="1708"/>
      <c r="FS355" s="1708"/>
      <c r="FT355" s="1708"/>
      <c r="FU355" s="1708"/>
      <c r="FV355" s="1708"/>
      <c r="FW355" s="1708"/>
      <c r="FX355" s="1708"/>
      <c r="FY355" s="1708"/>
      <c r="FZ355" s="1708"/>
      <c r="GA355" s="1708"/>
      <c r="GB355" s="1708"/>
      <c r="GC355" s="1708"/>
      <c r="GD355" s="1708"/>
      <c r="GE355" s="1708"/>
      <c r="GF355" s="1708"/>
      <c r="GG355" s="1708"/>
      <c r="GH355" s="1708"/>
      <c r="GI355" s="1708"/>
      <c r="GJ355" s="1708"/>
      <c r="GK355" s="1708"/>
      <c r="GL355" s="1708"/>
      <c r="GM355" s="1708"/>
      <c r="GN355" s="1708"/>
      <c r="GO355" s="1708"/>
      <c r="GP355" s="1708"/>
      <c r="GQ355" s="1708"/>
      <c r="GR355" s="1708"/>
      <c r="GS355" s="1708"/>
      <c r="GT355" s="1708"/>
      <c r="GU355" s="1708"/>
      <c r="GV355" s="1708"/>
      <c r="GW355" s="1708"/>
      <c r="GX355" s="1708"/>
      <c r="GY355" s="1708"/>
      <c r="GZ355" s="1708"/>
      <c r="HA355" s="1708"/>
      <c r="HB355" s="1708"/>
      <c r="HC355" s="1708"/>
      <c r="HD355" s="1708"/>
      <c r="HE355" s="1708"/>
      <c r="HF355" s="1708"/>
      <c r="HG355" s="1708"/>
      <c r="HH355" s="1708"/>
      <c r="HI355" s="1708"/>
      <c r="HJ355" s="1708"/>
      <c r="HK355" s="1708"/>
      <c r="HL355" s="1708"/>
      <c r="HM355" s="1708"/>
      <c r="HN355" s="1708"/>
      <c r="HO355" s="1708"/>
      <c r="HP355" s="1708"/>
      <c r="HQ355" s="1708"/>
      <c r="HR355" s="1708"/>
      <c r="HS355" s="1708"/>
      <c r="HT355" s="1708"/>
      <c r="HU355" s="1708"/>
      <c r="HV355" s="1708"/>
      <c r="HW355" s="1708"/>
      <c r="HX355" s="1708"/>
      <c r="HY355" s="1708"/>
      <c r="HZ355" s="1708"/>
      <c r="IA355" s="1708"/>
      <c r="IB355" s="1708"/>
      <c r="IC355" s="1708"/>
      <c r="ID355" s="1708"/>
      <c r="IE355" s="1708"/>
      <c r="IF355" s="1708"/>
      <c r="IG355" s="1708"/>
      <c r="IH355" s="1708"/>
      <c r="II355" s="1708"/>
      <c r="IJ355" s="1708"/>
      <c r="IK355" s="1708"/>
      <c r="IL355" s="1708"/>
      <c r="IM355" s="1708"/>
      <c r="IN355" s="1708"/>
      <c r="IO355" s="1708"/>
      <c r="IP355" s="1708"/>
      <c r="IQ355" s="1708"/>
      <c r="IR355" s="1708"/>
      <c r="IS355" s="1708"/>
      <c r="IT355" s="1708"/>
      <c r="IU355" s="1708"/>
      <c r="IV355" s="1708"/>
    </row>
    <row r="356" spans="2:256" s="57" customFormat="1" x14ac:dyDescent="0.25">
      <c r="B356" s="1836"/>
      <c r="G356" s="1849"/>
      <c r="J356" s="1850"/>
      <c r="K356" s="1850"/>
      <c r="S356" s="1708"/>
      <c r="T356" s="1708"/>
      <c r="U356" s="1708"/>
      <c r="V356" s="1708"/>
      <c r="W356" s="1708"/>
      <c r="X356" s="1708"/>
      <c r="Y356" s="1708"/>
      <c r="Z356" s="1708"/>
      <c r="AA356" s="1708"/>
      <c r="AB356" s="1708"/>
      <c r="AC356" s="1708"/>
      <c r="AD356" s="1708"/>
      <c r="AE356" s="1708"/>
      <c r="AF356" s="1708"/>
      <c r="AG356" s="1708"/>
      <c r="AH356" s="1708"/>
      <c r="AI356" s="1708"/>
      <c r="AJ356" s="1708"/>
      <c r="AK356" s="1708"/>
      <c r="AL356" s="1708"/>
      <c r="AM356" s="1708"/>
      <c r="AN356" s="1708"/>
      <c r="AO356" s="1708"/>
      <c r="AP356" s="1708"/>
      <c r="AQ356" s="1708"/>
      <c r="AR356" s="1708"/>
      <c r="AS356" s="1708"/>
      <c r="AT356" s="1708"/>
      <c r="AU356" s="1708"/>
      <c r="AV356" s="1708"/>
      <c r="AW356" s="1708"/>
      <c r="AX356" s="1708"/>
      <c r="AY356" s="1708"/>
      <c r="AZ356" s="1708"/>
      <c r="BA356" s="1708"/>
      <c r="BB356" s="1708"/>
      <c r="BC356" s="1708"/>
      <c r="BD356" s="1708"/>
      <c r="BE356" s="1708"/>
      <c r="BF356" s="1708"/>
      <c r="BG356" s="1708"/>
      <c r="BH356" s="1708"/>
      <c r="BI356" s="1708"/>
      <c r="BJ356" s="1708"/>
      <c r="BK356" s="1708"/>
      <c r="BL356" s="1708"/>
      <c r="BM356" s="1708"/>
      <c r="BN356" s="1708"/>
      <c r="BO356" s="1708"/>
      <c r="BP356" s="1708"/>
      <c r="BQ356" s="1708"/>
      <c r="BR356" s="1708"/>
      <c r="BS356" s="1708"/>
      <c r="BT356" s="1708"/>
      <c r="BU356" s="1708"/>
      <c r="BV356" s="1708"/>
      <c r="BW356" s="1708"/>
      <c r="BX356" s="1708"/>
      <c r="BY356" s="1708"/>
      <c r="BZ356" s="1708"/>
      <c r="CA356" s="1708"/>
      <c r="CB356" s="1708"/>
      <c r="CC356" s="1708"/>
      <c r="CD356" s="1708"/>
      <c r="CE356" s="1708"/>
      <c r="CF356" s="1708"/>
      <c r="CG356" s="1708"/>
      <c r="CH356" s="1708"/>
      <c r="CI356" s="1708"/>
      <c r="CJ356" s="1708"/>
      <c r="CK356" s="1708"/>
      <c r="CL356" s="1708"/>
      <c r="CM356" s="1708"/>
      <c r="CN356" s="1708"/>
      <c r="CO356" s="1708"/>
      <c r="CP356" s="1708"/>
      <c r="CQ356" s="1708"/>
      <c r="CR356" s="1708"/>
      <c r="CS356" s="1708"/>
      <c r="CT356" s="1708"/>
      <c r="CU356" s="1708"/>
      <c r="CV356" s="1708"/>
      <c r="CW356" s="1708"/>
      <c r="CX356" s="1708"/>
      <c r="CY356" s="1708"/>
      <c r="CZ356" s="1708"/>
      <c r="DA356" s="1708"/>
      <c r="DB356" s="1708"/>
      <c r="DC356" s="1708"/>
      <c r="DD356" s="1708"/>
      <c r="DE356" s="1708"/>
      <c r="DF356" s="1708"/>
      <c r="DG356" s="1708"/>
      <c r="DH356" s="1708"/>
      <c r="DI356" s="1708"/>
      <c r="DJ356" s="1708"/>
      <c r="DK356" s="1708"/>
      <c r="DL356" s="1708"/>
      <c r="DM356" s="1708"/>
      <c r="DN356" s="1708"/>
      <c r="DO356" s="1708"/>
      <c r="DP356" s="1708"/>
      <c r="DQ356" s="1708"/>
      <c r="DR356" s="1708"/>
      <c r="DS356" s="1708"/>
      <c r="DT356" s="1708"/>
      <c r="DU356" s="1708"/>
      <c r="DV356" s="1708"/>
      <c r="DW356" s="1708"/>
      <c r="DX356" s="1708"/>
      <c r="DY356" s="1708"/>
      <c r="DZ356" s="1708"/>
      <c r="EA356" s="1708"/>
      <c r="EB356" s="1708"/>
      <c r="EC356" s="1708"/>
      <c r="ED356" s="1708"/>
      <c r="EE356" s="1708"/>
      <c r="EF356" s="1708"/>
      <c r="EG356" s="1708"/>
      <c r="EH356" s="1708"/>
      <c r="EI356" s="1708"/>
      <c r="EJ356" s="1708"/>
      <c r="EK356" s="1708"/>
      <c r="EL356" s="1708"/>
      <c r="EM356" s="1708"/>
      <c r="EN356" s="1708"/>
      <c r="EO356" s="1708"/>
      <c r="EP356" s="1708"/>
      <c r="EQ356" s="1708"/>
      <c r="ER356" s="1708"/>
      <c r="ES356" s="1708"/>
      <c r="ET356" s="1708"/>
      <c r="EU356" s="1708"/>
      <c r="EV356" s="1708"/>
      <c r="EW356" s="1708"/>
      <c r="EX356" s="1708"/>
      <c r="EY356" s="1708"/>
      <c r="EZ356" s="1708"/>
      <c r="FA356" s="1708"/>
      <c r="FB356" s="1708"/>
      <c r="FC356" s="1708"/>
      <c r="FD356" s="1708"/>
      <c r="FE356" s="1708"/>
      <c r="FF356" s="1708"/>
      <c r="FG356" s="1708"/>
      <c r="FH356" s="1708"/>
      <c r="FI356" s="1708"/>
      <c r="FJ356" s="1708"/>
      <c r="FK356" s="1708"/>
      <c r="FL356" s="1708"/>
      <c r="FM356" s="1708"/>
      <c r="FN356" s="1708"/>
      <c r="FO356" s="1708"/>
      <c r="FP356" s="1708"/>
      <c r="FQ356" s="1708"/>
      <c r="FR356" s="1708"/>
      <c r="FS356" s="1708"/>
      <c r="FT356" s="1708"/>
      <c r="FU356" s="1708"/>
      <c r="FV356" s="1708"/>
      <c r="FW356" s="1708"/>
      <c r="FX356" s="1708"/>
      <c r="FY356" s="1708"/>
      <c r="FZ356" s="1708"/>
      <c r="GA356" s="1708"/>
      <c r="GB356" s="1708"/>
      <c r="GC356" s="1708"/>
      <c r="GD356" s="1708"/>
      <c r="GE356" s="1708"/>
      <c r="GF356" s="1708"/>
      <c r="GG356" s="1708"/>
      <c r="GH356" s="1708"/>
      <c r="GI356" s="1708"/>
      <c r="GJ356" s="1708"/>
      <c r="GK356" s="1708"/>
      <c r="GL356" s="1708"/>
      <c r="GM356" s="1708"/>
      <c r="GN356" s="1708"/>
      <c r="GO356" s="1708"/>
      <c r="GP356" s="1708"/>
      <c r="GQ356" s="1708"/>
      <c r="GR356" s="1708"/>
      <c r="GS356" s="1708"/>
      <c r="GT356" s="1708"/>
      <c r="GU356" s="1708"/>
      <c r="GV356" s="1708"/>
      <c r="GW356" s="1708"/>
      <c r="GX356" s="1708"/>
      <c r="GY356" s="1708"/>
      <c r="GZ356" s="1708"/>
      <c r="HA356" s="1708"/>
      <c r="HB356" s="1708"/>
      <c r="HC356" s="1708"/>
      <c r="HD356" s="1708"/>
      <c r="HE356" s="1708"/>
      <c r="HF356" s="1708"/>
      <c r="HG356" s="1708"/>
      <c r="HH356" s="1708"/>
      <c r="HI356" s="1708"/>
      <c r="HJ356" s="1708"/>
      <c r="HK356" s="1708"/>
      <c r="HL356" s="1708"/>
      <c r="HM356" s="1708"/>
      <c r="HN356" s="1708"/>
      <c r="HO356" s="1708"/>
      <c r="HP356" s="1708"/>
      <c r="HQ356" s="1708"/>
      <c r="HR356" s="1708"/>
      <c r="HS356" s="1708"/>
      <c r="HT356" s="1708"/>
      <c r="HU356" s="1708"/>
      <c r="HV356" s="1708"/>
      <c r="HW356" s="1708"/>
      <c r="HX356" s="1708"/>
      <c r="HY356" s="1708"/>
      <c r="HZ356" s="1708"/>
      <c r="IA356" s="1708"/>
      <c r="IB356" s="1708"/>
      <c r="IC356" s="1708"/>
      <c r="ID356" s="1708"/>
      <c r="IE356" s="1708"/>
      <c r="IF356" s="1708"/>
      <c r="IG356" s="1708"/>
      <c r="IH356" s="1708"/>
      <c r="II356" s="1708"/>
      <c r="IJ356" s="1708"/>
      <c r="IK356" s="1708"/>
      <c r="IL356" s="1708"/>
      <c r="IM356" s="1708"/>
      <c r="IN356" s="1708"/>
      <c r="IO356" s="1708"/>
      <c r="IP356" s="1708"/>
      <c r="IQ356" s="1708"/>
      <c r="IR356" s="1708"/>
      <c r="IS356" s="1708"/>
      <c r="IT356" s="1708"/>
      <c r="IU356" s="1708"/>
      <c r="IV356" s="1708"/>
    </row>
    <row r="357" spans="2:256" s="57" customFormat="1" x14ac:dyDescent="0.25">
      <c r="B357" s="1836"/>
      <c r="G357" s="1849"/>
      <c r="J357" s="1850"/>
      <c r="K357" s="1850"/>
      <c r="S357" s="1708"/>
      <c r="T357" s="1708"/>
      <c r="U357" s="1708"/>
      <c r="V357" s="1708"/>
      <c r="W357" s="1708"/>
      <c r="X357" s="1708"/>
      <c r="Y357" s="1708"/>
      <c r="Z357" s="1708"/>
      <c r="AA357" s="1708"/>
      <c r="AB357" s="1708"/>
      <c r="AC357" s="1708"/>
      <c r="AD357" s="1708"/>
      <c r="AE357" s="1708"/>
      <c r="AF357" s="1708"/>
      <c r="AG357" s="1708"/>
      <c r="AH357" s="1708"/>
      <c r="AI357" s="1708"/>
      <c r="AJ357" s="1708"/>
      <c r="AK357" s="1708"/>
      <c r="AL357" s="1708"/>
      <c r="AM357" s="1708"/>
      <c r="AN357" s="1708"/>
      <c r="AO357" s="1708"/>
      <c r="AP357" s="1708"/>
      <c r="AQ357" s="1708"/>
      <c r="AR357" s="1708"/>
      <c r="AS357" s="1708"/>
      <c r="AT357" s="1708"/>
      <c r="AU357" s="1708"/>
      <c r="AV357" s="1708"/>
      <c r="AW357" s="1708"/>
      <c r="AX357" s="1708"/>
      <c r="AY357" s="1708"/>
      <c r="AZ357" s="1708"/>
      <c r="BA357" s="1708"/>
      <c r="BB357" s="1708"/>
      <c r="BC357" s="1708"/>
      <c r="BD357" s="1708"/>
      <c r="BE357" s="1708"/>
      <c r="BF357" s="1708"/>
      <c r="BG357" s="1708"/>
      <c r="BH357" s="1708"/>
      <c r="BI357" s="1708"/>
      <c r="BJ357" s="1708"/>
      <c r="BK357" s="1708"/>
      <c r="BL357" s="1708"/>
      <c r="BM357" s="1708"/>
      <c r="BN357" s="1708"/>
      <c r="BO357" s="1708"/>
      <c r="BP357" s="1708"/>
      <c r="BQ357" s="1708"/>
      <c r="BR357" s="1708"/>
      <c r="BS357" s="1708"/>
      <c r="BT357" s="1708"/>
      <c r="BU357" s="1708"/>
      <c r="BV357" s="1708"/>
      <c r="BW357" s="1708"/>
      <c r="BX357" s="1708"/>
      <c r="BY357" s="1708"/>
      <c r="BZ357" s="1708"/>
      <c r="CA357" s="1708"/>
      <c r="CB357" s="1708"/>
      <c r="CC357" s="1708"/>
      <c r="CD357" s="1708"/>
      <c r="CE357" s="1708"/>
      <c r="CF357" s="1708"/>
      <c r="CG357" s="1708"/>
      <c r="CH357" s="1708"/>
      <c r="CI357" s="1708"/>
      <c r="CJ357" s="1708"/>
      <c r="CK357" s="1708"/>
      <c r="CL357" s="1708"/>
      <c r="CM357" s="1708"/>
      <c r="CN357" s="1708"/>
      <c r="CO357" s="1708"/>
      <c r="CP357" s="1708"/>
      <c r="CQ357" s="1708"/>
      <c r="CR357" s="1708"/>
      <c r="CS357" s="1708"/>
      <c r="CT357" s="1708"/>
      <c r="CU357" s="1708"/>
      <c r="CV357" s="1708"/>
      <c r="CW357" s="1708"/>
      <c r="CX357" s="1708"/>
      <c r="CY357" s="1708"/>
      <c r="CZ357" s="1708"/>
      <c r="DA357" s="1708"/>
      <c r="DB357" s="1708"/>
      <c r="DC357" s="1708"/>
      <c r="DD357" s="1708"/>
      <c r="DE357" s="1708"/>
      <c r="DF357" s="1708"/>
      <c r="DG357" s="1708"/>
      <c r="DH357" s="1708"/>
      <c r="DI357" s="1708"/>
      <c r="DJ357" s="1708"/>
      <c r="DK357" s="1708"/>
      <c r="DL357" s="1708"/>
      <c r="DM357" s="1708"/>
      <c r="DN357" s="1708"/>
      <c r="DO357" s="1708"/>
      <c r="DP357" s="1708"/>
      <c r="DQ357" s="1708"/>
      <c r="DR357" s="1708"/>
      <c r="DS357" s="1708"/>
      <c r="DT357" s="1708"/>
      <c r="DU357" s="1708"/>
      <c r="DV357" s="1708"/>
      <c r="DW357" s="1708"/>
      <c r="DX357" s="1708"/>
      <c r="DY357" s="1708"/>
      <c r="DZ357" s="1708"/>
      <c r="EA357" s="1708"/>
      <c r="EB357" s="1708"/>
      <c r="EC357" s="1708"/>
      <c r="ED357" s="1708"/>
      <c r="EE357" s="1708"/>
      <c r="EF357" s="1708"/>
      <c r="EG357" s="1708"/>
      <c r="EH357" s="1708"/>
      <c r="EI357" s="1708"/>
      <c r="EJ357" s="1708"/>
      <c r="EK357" s="1708"/>
      <c r="EL357" s="1708"/>
      <c r="EM357" s="1708"/>
      <c r="EN357" s="1708"/>
      <c r="EO357" s="1708"/>
      <c r="EP357" s="1708"/>
      <c r="EQ357" s="1708"/>
      <c r="ER357" s="1708"/>
      <c r="ES357" s="1708"/>
      <c r="ET357" s="1708"/>
      <c r="EU357" s="1708"/>
      <c r="EV357" s="1708"/>
      <c r="EW357" s="1708"/>
      <c r="EX357" s="1708"/>
      <c r="EY357" s="1708"/>
      <c r="EZ357" s="1708"/>
      <c r="FA357" s="1708"/>
      <c r="FB357" s="1708"/>
      <c r="FC357" s="1708"/>
      <c r="FD357" s="1708"/>
      <c r="FE357" s="1708"/>
      <c r="FF357" s="1708"/>
      <c r="FG357" s="1708"/>
      <c r="FH357" s="1708"/>
      <c r="FI357" s="1708"/>
      <c r="FJ357" s="1708"/>
      <c r="FK357" s="1708"/>
      <c r="FL357" s="1708"/>
      <c r="FM357" s="1708"/>
      <c r="FN357" s="1708"/>
      <c r="FO357" s="1708"/>
      <c r="FP357" s="1708"/>
      <c r="FQ357" s="1708"/>
      <c r="FR357" s="1708"/>
      <c r="FS357" s="1708"/>
      <c r="FT357" s="1708"/>
      <c r="FU357" s="1708"/>
      <c r="FV357" s="1708"/>
      <c r="FW357" s="1708"/>
      <c r="FX357" s="1708"/>
      <c r="FY357" s="1708"/>
      <c r="FZ357" s="1708"/>
      <c r="GA357" s="1708"/>
      <c r="GB357" s="1708"/>
      <c r="GC357" s="1708"/>
      <c r="GD357" s="1708"/>
      <c r="GE357" s="1708"/>
      <c r="GF357" s="1708"/>
      <c r="GG357" s="1708"/>
      <c r="GH357" s="1708"/>
      <c r="GI357" s="1708"/>
      <c r="GJ357" s="1708"/>
      <c r="GK357" s="1708"/>
      <c r="GL357" s="1708"/>
      <c r="GM357" s="1708"/>
      <c r="GN357" s="1708"/>
      <c r="GO357" s="1708"/>
      <c r="GP357" s="1708"/>
      <c r="GQ357" s="1708"/>
      <c r="GR357" s="1708"/>
      <c r="GS357" s="1708"/>
      <c r="GT357" s="1708"/>
      <c r="GU357" s="1708"/>
      <c r="GV357" s="1708"/>
      <c r="GW357" s="1708"/>
      <c r="GX357" s="1708"/>
      <c r="GY357" s="1708"/>
      <c r="GZ357" s="1708"/>
      <c r="HA357" s="1708"/>
      <c r="HB357" s="1708"/>
      <c r="HC357" s="1708"/>
      <c r="HD357" s="1708"/>
      <c r="HE357" s="1708"/>
      <c r="HF357" s="1708"/>
      <c r="HG357" s="1708"/>
      <c r="HH357" s="1708"/>
      <c r="HI357" s="1708"/>
      <c r="HJ357" s="1708"/>
      <c r="HK357" s="1708"/>
      <c r="HL357" s="1708"/>
      <c r="HM357" s="1708"/>
      <c r="HN357" s="1708"/>
      <c r="HO357" s="1708"/>
      <c r="HP357" s="1708"/>
      <c r="HQ357" s="1708"/>
      <c r="HR357" s="1708"/>
      <c r="HS357" s="1708"/>
      <c r="HT357" s="1708"/>
      <c r="HU357" s="1708"/>
      <c r="HV357" s="1708"/>
      <c r="HW357" s="1708"/>
      <c r="HX357" s="1708"/>
      <c r="HY357" s="1708"/>
      <c r="HZ357" s="1708"/>
      <c r="IA357" s="1708"/>
      <c r="IB357" s="1708"/>
      <c r="IC357" s="1708"/>
      <c r="ID357" s="1708"/>
      <c r="IE357" s="1708"/>
      <c r="IF357" s="1708"/>
      <c r="IG357" s="1708"/>
      <c r="IH357" s="1708"/>
      <c r="II357" s="1708"/>
      <c r="IJ357" s="1708"/>
      <c r="IK357" s="1708"/>
      <c r="IL357" s="1708"/>
      <c r="IM357" s="1708"/>
      <c r="IN357" s="1708"/>
      <c r="IO357" s="1708"/>
      <c r="IP357" s="1708"/>
      <c r="IQ357" s="1708"/>
      <c r="IR357" s="1708"/>
      <c r="IS357" s="1708"/>
      <c r="IT357" s="1708"/>
      <c r="IU357" s="1708"/>
      <c r="IV357" s="1708"/>
    </row>
    <row r="358" spans="2:256" s="57" customFormat="1" x14ac:dyDescent="0.25">
      <c r="B358" s="1836"/>
      <c r="G358" s="1849"/>
      <c r="J358" s="1850"/>
      <c r="K358" s="1850"/>
      <c r="S358" s="1708"/>
      <c r="T358" s="1708"/>
      <c r="U358" s="1708"/>
      <c r="V358" s="1708"/>
      <c r="W358" s="1708"/>
      <c r="X358" s="1708"/>
      <c r="Y358" s="1708"/>
      <c r="Z358" s="1708"/>
      <c r="AA358" s="1708"/>
      <c r="AB358" s="1708"/>
      <c r="AC358" s="1708"/>
      <c r="AD358" s="1708"/>
      <c r="AE358" s="1708"/>
      <c r="AF358" s="1708"/>
      <c r="AG358" s="1708"/>
      <c r="AH358" s="1708"/>
      <c r="AI358" s="1708"/>
      <c r="AJ358" s="1708"/>
      <c r="AK358" s="1708"/>
      <c r="AL358" s="1708"/>
      <c r="AM358" s="1708"/>
      <c r="AN358" s="1708"/>
      <c r="AO358" s="1708"/>
      <c r="AP358" s="1708"/>
      <c r="AQ358" s="1708"/>
      <c r="AR358" s="1708"/>
      <c r="AS358" s="1708"/>
      <c r="AT358" s="1708"/>
      <c r="AU358" s="1708"/>
      <c r="AV358" s="1708"/>
      <c r="AW358" s="1708"/>
      <c r="AX358" s="1708"/>
      <c r="AY358" s="1708"/>
      <c r="AZ358" s="1708"/>
      <c r="BA358" s="1708"/>
      <c r="BB358" s="1708"/>
      <c r="BC358" s="1708"/>
      <c r="BD358" s="1708"/>
      <c r="BE358" s="1708"/>
      <c r="BF358" s="1708"/>
      <c r="BG358" s="1708"/>
      <c r="BH358" s="1708"/>
      <c r="BI358" s="1708"/>
      <c r="BJ358" s="1708"/>
      <c r="BK358" s="1708"/>
      <c r="BL358" s="1708"/>
      <c r="BM358" s="1708"/>
      <c r="BN358" s="1708"/>
      <c r="BO358" s="1708"/>
      <c r="BP358" s="1708"/>
      <c r="BQ358" s="1708"/>
      <c r="BR358" s="1708"/>
      <c r="BS358" s="1708"/>
      <c r="BT358" s="1708"/>
      <c r="BU358" s="1708"/>
      <c r="BV358" s="1708"/>
      <c r="BW358" s="1708"/>
      <c r="BX358" s="1708"/>
      <c r="BY358" s="1708"/>
      <c r="BZ358" s="1708"/>
      <c r="CA358" s="1708"/>
      <c r="CB358" s="1708"/>
      <c r="CC358" s="1708"/>
      <c r="CD358" s="1708"/>
      <c r="CE358" s="1708"/>
      <c r="CF358" s="1708"/>
      <c r="CG358" s="1708"/>
      <c r="CH358" s="1708"/>
      <c r="CI358" s="1708"/>
      <c r="CJ358" s="1708"/>
      <c r="CK358" s="1708"/>
      <c r="CL358" s="1708"/>
      <c r="CM358" s="1708"/>
      <c r="CN358" s="1708"/>
      <c r="CO358" s="1708"/>
      <c r="CP358" s="1708"/>
      <c r="CQ358" s="1708"/>
      <c r="CR358" s="1708"/>
      <c r="CS358" s="1708"/>
      <c r="CT358" s="1708"/>
      <c r="CU358" s="1708"/>
      <c r="CV358" s="1708"/>
      <c r="CW358" s="1708"/>
      <c r="CX358" s="1708"/>
      <c r="CY358" s="1708"/>
      <c r="CZ358" s="1708"/>
      <c r="DA358" s="1708"/>
      <c r="DB358" s="1708"/>
      <c r="DC358" s="1708"/>
      <c r="DD358" s="1708"/>
      <c r="DE358" s="1708"/>
      <c r="DF358" s="1708"/>
      <c r="DG358" s="1708"/>
      <c r="DH358" s="1708"/>
      <c r="DI358" s="1708"/>
      <c r="DJ358" s="1708"/>
      <c r="DK358" s="1708"/>
      <c r="DL358" s="1708"/>
      <c r="DM358" s="1708"/>
      <c r="DN358" s="1708"/>
      <c r="DO358" s="1708"/>
      <c r="DP358" s="1708"/>
      <c r="DQ358" s="1708"/>
      <c r="DR358" s="1708"/>
      <c r="DS358" s="1708"/>
      <c r="DT358" s="1708"/>
      <c r="DU358" s="1708"/>
      <c r="DV358" s="1708"/>
      <c r="DW358" s="1708"/>
      <c r="DX358" s="1708"/>
      <c r="DY358" s="1708"/>
      <c r="DZ358" s="1708"/>
      <c r="EA358" s="1708"/>
      <c r="EB358" s="1708"/>
      <c r="EC358" s="1708"/>
      <c r="ED358" s="1708"/>
      <c r="EE358" s="1708"/>
      <c r="EF358" s="1708"/>
      <c r="EG358" s="1708"/>
      <c r="EH358" s="1708"/>
      <c r="EI358" s="1708"/>
      <c r="EJ358" s="1708"/>
      <c r="EK358" s="1708"/>
      <c r="EL358" s="1708"/>
      <c r="EM358" s="1708"/>
      <c r="EN358" s="1708"/>
      <c r="EO358" s="1708"/>
      <c r="EP358" s="1708"/>
      <c r="EQ358" s="1708"/>
      <c r="ER358" s="1708"/>
      <c r="ES358" s="1708"/>
      <c r="ET358" s="1708"/>
      <c r="EU358" s="1708"/>
      <c r="EV358" s="1708"/>
      <c r="EW358" s="1708"/>
      <c r="EX358" s="1708"/>
      <c r="EY358" s="1708"/>
      <c r="EZ358" s="1708"/>
      <c r="FA358" s="1708"/>
      <c r="FB358" s="1708"/>
      <c r="FC358" s="1708"/>
      <c r="FD358" s="1708"/>
      <c r="FE358" s="1708"/>
      <c r="FF358" s="1708"/>
      <c r="FG358" s="1708"/>
      <c r="FH358" s="1708"/>
      <c r="FI358" s="1708"/>
      <c r="FJ358" s="1708"/>
      <c r="FK358" s="1708"/>
      <c r="FL358" s="1708"/>
      <c r="FM358" s="1708"/>
      <c r="FN358" s="1708"/>
      <c r="FO358" s="1708"/>
      <c r="FP358" s="1708"/>
      <c r="FQ358" s="1708"/>
      <c r="FR358" s="1708"/>
      <c r="FS358" s="1708"/>
      <c r="FT358" s="1708"/>
      <c r="FU358" s="1708"/>
      <c r="FV358" s="1708"/>
      <c r="FW358" s="1708"/>
      <c r="FX358" s="1708"/>
      <c r="FY358" s="1708"/>
      <c r="FZ358" s="1708"/>
      <c r="GA358" s="1708"/>
      <c r="GB358" s="1708"/>
      <c r="GC358" s="1708"/>
      <c r="GD358" s="1708"/>
      <c r="GE358" s="1708"/>
      <c r="GF358" s="1708"/>
      <c r="GG358" s="1708"/>
      <c r="GH358" s="1708"/>
      <c r="GI358" s="1708"/>
      <c r="GJ358" s="1708"/>
      <c r="GK358" s="1708"/>
      <c r="GL358" s="1708"/>
      <c r="GM358" s="1708"/>
      <c r="GN358" s="1708"/>
      <c r="GO358" s="1708"/>
      <c r="GP358" s="1708"/>
      <c r="GQ358" s="1708"/>
      <c r="GR358" s="1708"/>
      <c r="GS358" s="1708"/>
      <c r="GT358" s="1708"/>
      <c r="GU358" s="1708"/>
      <c r="GV358" s="1708"/>
      <c r="GW358" s="1708"/>
      <c r="GX358" s="1708"/>
      <c r="GY358" s="1708"/>
      <c r="GZ358" s="1708"/>
      <c r="HA358" s="1708"/>
      <c r="HB358" s="1708"/>
      <c r="HC358" s="1708"/>
      <c r="HD358" s="1708"/>
      <c r="HE358" s="1708"/>
      <c r="HF358" s="1708"/>
      <c r="HG358" s="1708"/>
      <c r="HH358" s="1708"/>
      <c r="HI358" s="1708"/>
      <c r="HJ358" s="1708"/>
      <c r="HK358" s="1708"/>
      <c r="HL358" s="1708"/>
      <c r="HM358" s="1708"/>
      <c r="HN358" s="1708"/>
      <c r="HO358" s="1708"/>
      <c r="HP358" s="1708"/>
      <c r="HQ358" s="1708"/>
      <c r="HR358" s="1708"/>
      <c r="HS358" s="1708"/>
      <c r="HT358" s="1708"/>
      <c r="HU358" s="1708"/>
      <c r="HV358" s="1708"/>
      <c r="HW358" s="1708"/>
      <c r="HX358" s="1708"/>
      <c r="HY358" s="1708"/>
      <c r="HZ358" s="1708"/>
      <c r="IA358" s="1708"/>
      <c r="IB358" s="1708"/>
      <c r="IC358" s="1708"/>
      <c r="ID358" s="1708"/>
      <c r="IE358" s="1708"/>
      <c r="IF358" s="1708"/>
      <c r="IG358" s="1708"/>
      <c r="IH358" s="1708"/>
      <c r="II358" s="1708"/>
      <c r="IJ358" s="1708"/>
      <c r="IK358" s="1708"/>
      <c r="IL358" s="1708"/>
      <c r="IM358" s="1708"/>
      <c r="IN358" s="1708"/>
      <c r="IO358" s="1708"/>
      <c r="IP358" s="1708"/>
      <c r="IQ358" s="1708"/>
      <c r="IR358" s="1708"/>
      <c r="IS358" s="1708"/>
      <c r="IT358" s="1708"/>
      <c r="IU358" s="1708"/>
      <c r="IV358" s="1708"/>
    </row>
    <row r="359" spans="2:256" s="57" customFormat="1" x14ac:dyDescent="0.25">
      <c r="B359" s="1836"/>
      <c r="G359" s="1849"/>
      <c r="J359" s="1850"/>
      <c r="K359" s="1850"/>
      <c r="S359" s="1708"/>
      <c r="T359" s="1708"/>
      <c r="U359" s="1708"/>
      <c r="V359" s="1708"/>
      <c r="W359" s="1708"/>
      <c r="X359" s="1708"/>
      <c r="Y359" s="1708"/>
      <c r="Z359" s="1708"/>
      <c r="AA359" s="1708"/>
      <c r="AB359" s="1708"/>
      <c r="AC359" s="1708"/>
      <c r="AD359" s="1708"/>
      <c r="AE359" s="1708"/>
      <c r="AF359" s="1708"/>
      <c r="AG359" s="1708"/>
      <c r="AH359" s="1708"/>
      <c r="AI359" s="1708"/>
      <c r="AJ359" s="1708"/>
      <c r="AK359" s="1708"/>
      <c r="AL359" s="1708"/>
      <c r="AM359" s="1708"/>
      <c r="AN359" s="1708"/>
      <c r="AO359" s="1708"/>
      <c r="AP359" s="1708"/>
      <c r="AQ359" s="1708"/>
      <c r="AR359" s="1708"/>
      <c r="AS359" s="1708"/>
      <c r="AT359" s="1708"/>
      <c r="AU359" s="1708"/>
      <c r="AV359" s="1708"/>
      <c r="AW359" s="1708"/>
      <c r="AX359" s="1708"/>
      <c r="AY359" s="1708"/>
      <c r="AZ359" s="1708"/>
      <c r="BA359" s="1708"/>
      <c r="BB359" s="1708"/>
      <c r="BC359" s="1708"/>
      <c r="BD359" s="1708"/>
      <c r="BE359" s="1708"/>
      <c r="BF359" s="1708"/>
      <c r="BG359" s="1708"/>
      <c r="BH359" s="1708"/>
      <c r="BI359" s="1708"/>
      <c r="BJ359" s="1708"/>
      <c r="BK359" s="1708"/>
      <c r="BL359" s="1708"/>
      <c r="BM359" s="1708"/>
      <c r="BN359" s="1708"/>
      <c r="BO359" s="1708"/>
      <c r="BP359" s="1708"/>
      <c r="BQ359" s="1708"/>
      <c r="BR359" s="1708"/>
      <c r="BS359" s="1708"/>
      <c r="BT359" s="1708"/>
      <c r="BU359" s="1708"/>
      <c r="BV359" s="1708"/>
      <c r="BW359" s="1708"/>
      <c r="BX359" s="1708"/>
      <c r="BY359" s="1708"/>
      <c r="BZ359" s="1708"/>
      <c r="CA359" s="1708"/>
      <c r="CB359" s="1708"/>
      <c r="CC359" s="1708"/>
      <c r="CD359" s="1708"/>
      <c r="CE359" s="1708"/>
      <c r="CF359" s="1708"/>
      <c r="CG359" s="1708"/>
      <c r="CH359" s="1708"/>
      <c r="CI359" s="1708"/>
      <c r="CJ359" s="1708"/>
      <c r="CK359" s="1708"/>
      <c r="CL359" s="1708"/>
      <c r="CM359" s="1708"/>
      <c r="CN359" s="1708"/>
      <c r="CO359" s="1708"/>
      <c r="CP359" s="1708"/>
      <c r="CQ359" s="1708"/>
      <c r="CR359" s="1708"/>
      <c r="CS359" s="1708"/>
      <c r="CT359" s="1708"/>
      <c r="CU359" s="1708"/>
      <c r="CV359" s="1708"/>
      <c r="CW359" s="1708"/>
      <c r="CX359" s="1708"/>
      <c r="CY359" s="1708"/>
      <c r="CZ359" s="1708"/>
      <c r="DA359" s="1708"/>
      <c r="DB359" s="1708"/>
      <c r="DC359" s="1708"/>
      <c r="DD359" s="1708"/>
      <c r="DE359" s="1708"/>
      <c r="DF359" s="1708"/>
      <c r="DG359" s="1708"/>
      <c r="DH359" s="1708"/>
      <c r="DI359" s="1708"/>
      <c r="DJ359" s="1708"/>
      <c r="DK359" s="1708"/>
      <c r="DL359" s="1708"/>
      <c r="DM359" s="1708"/>
      <c r="DN359" s="1708"/>
      <c r="DO359" s="1708"/>
      <c r="DP359" s="1708"/>
      <c r="DQ359" s="1708"/>
      <c r="DR359" s="1708"/>
      <c r="DS359" s="1708"/>
      <c r="DT359" s="1708"/>
      <c r="DU359" s="1708"/>
      <c r="DV359" s="1708"/>
      <c r="DW359" s="1708"/>
      <c r="DX359" s="1708"/>
      <c r="DY359" s="1708"/>
      <c r="DZ359" s="1708"/>
      <c r="EA359" s="1708"/>
      <c r="EB359" s="1708"/>
      <c r="EC359" s="1708"/>
      <c r="ED359" s="1708"/>
      <c r="EE359" s="1708"/>
      <c r="EF359" s="1708"/>
      <c r="EG359" s="1708"/>
      <c r="EH359" s="1708"/>
      <c r="EI359" s="1708"/>
      <c r="EJ359" s="1708"/>
      <c r="EK359" s="1708"/>
      <c r="EL359" s="1708"/>
      <c r="EM359" s="1708"/>
      <c r="EN359" s="1708"/>
      <c r="EO359" s="1708"/>
      <c r="EP359" s="1708"/>
      <c r="EQ359" s="1708"/>
      <c r="ER359" s="1708"/>
      <c r="ES359" s="1708"/>
      <c r="ET359" s="1708"/>
      <c r="EU359" s="1708"/>
      <c r="EV359" s="1708"/>
      <c r="EW359" s="1708"/>
      <c r="EX359" s="1708"/>
      <c r="EY359" s="1708"/>
      <c r="EZ359" s="1708"/>
      <c r="FA359" s="1708"/>
      <c r="FB359" s="1708"/>
      <c r="FC359" s="1708"/>
      <c r="FD359" s="1708"/>
      <c r="FE359" s="1708"/>
      <c r="FF359" s="1708"/>
      <c r="FG359" s="1708"/>
      <c r="FH359" s="1708"/>
      <c r="FI359" s="1708"/>
      <c r="FJ359" s="1708"/>
      <c r="FK359" s="1708"/>
      <c r="FL359" s="1708"/>
      <c r="FM359" s="1708"/>
      <c r="FN359" s="1708"/>
      <c r="FO359" s="1708"/>
      <c r="FP359" s="1708"/>
      <c r="FQ359" s="1708"/>
      <c r="FR359" s="1708"/>
      <c r="FS359" s="1708"/>
      <c r="FT359" s="1708"/>
      <c r="FU359" s="1708"/>
      <c r="FV359" s="1708"/>
      <c r="FW359" s="1708"/>
      <c r="FX359" s="1708"/>
      <c r="FY359" s="1708"/>
      <c r="FZ359" s="1708"/>
      <c r="GA359" s="1708"/>
      <c r="GB359" s="1708"/>
      <c r="GC359" s="1708"/>
      <c r="GD359" s="1708"/>
      <c r="GE359" s="1708"/>
      <c r="GF359" s="1708"/>
      <c r="GG359" s="1708"/>
      <c r="GH359" s="1708"/>
      <c r="GI359" s="1708"/>
      <c r="GJ359" s="1708"/>
      <c r="GK359" s="1708"/>
      <c r="GL359" s="1708"/>
      <c r="GM359" s="1708"/>
      <c r="GN359" s="1708"/>
      <c r="GO359" s="1708"/>
      <c r="GP359" s="1708"/>
      <c r="GQ359" s="1708"/>
      <c r="GR359" s="1708"/>
      <c r="GS359" s="1708"/>
      <c r="GT359" s="1708"/>
      <c r="GU359" s="1708"/>
      <c r="GV359" s="1708"/>
      <c r="GW359" s="1708"/>
      <c r="GX359" s="1708"/>
      <c r="GY359" s="1708"/>
      <c r="GZ359" s="1708"/>
      <c r="HA359" s="1708"/>
      <c r="HB359" s="1708"/>
      <c r="HC359" s="1708"/>
      <c r="HD359" s="1708"/>
      <c r="HE359" s="1708"/>
      <c r="HF359" s="1708"/>
      <c r="HG359" s="1708"/>
      <c r="HH359" s="1708"/>
      <c r="HI359" s="1708"/>
      <c r="HJ359" s="1708"/>
      <c r="HK359" s="1708"/>
      <c r="HL359" s="1708"/>
      <c r="HM359" s="1708"/>
      <c r="HN359" s="1708"/>
      <c r="HO359" s="1708"/>
      <c r="HP359" s="1708"/>
      <c r="HQ359" s="1708"/>
      <c r="HR359" s="1708"/>
      <c r="HS359" s="1708"/>
      <c r="HT359" s="1708"/>
      <c r="HU359" s="1708"/>
      <c r="HV359" s="1708"/>
      <c r="HW359" s="1708"/>
      <c r="HX359" s="1708"/>
      <c r="HY359" s="1708"/>
      <c r="HZ359" s="1708"/>
      <c r="IA359" s="1708"/>
      <c r="IB359" s="1708"/>
      <c r="IC359" s="1708"/>
      <c r="ID359" s="1708"/>
      <c r="IE359" s="1708"/>
      <c r="IF359" s="1708"/>
      <c r="IG359" s="1708"/>
      <c r="IH359" s="1708"/>
      <c r="II359" s="1708"/>
      <c r="IJ359" s="1708"/>
      <c r="IK359" s="1708"/>
      <c r="IL359" s="1708"/>
      <c r="IM359" s="1708"/>
      <c r="IN359" s="1708"/>
      <c r="IO359" s="1708"/>
      <c r="IP359" s="1708"/>
      <c r="IQ359" s="1708"/>
      <c r="IR359" s="1708"/>
      <c r="IS359" s="1708"/>
      <c r="IT359" s="1708"/>
      <c r="IU359" s="1708"/>
      <c r="IV359" s="1708"/>
    </row>
    <row r="360" spans="2:256" s="57" customFormat="1" x14ac:dyDescent="0.25">
      <c r="B360" s="1836"/>
      <c r="G360" s="1849"/>
      <c r="J360" s="1850"/>
      <c r="K360" s="1850"/>
      <c r="S360" s="1708"/>
      <c r="T360" s="1708"/>
      <c r="U360" s="1708"/>
      <c r="V360" s="1708"/>
      <c r="W360" s="1708"/>
      <c r="X360" s="1708"/>
      <c r="Y360" s="1708"/>
      <c r="Z360" s="1708"/>
      <c r="AA360" s="1708"/>
      <c r="AB360" s="1708"/>
      <c r="AC360" s="1708"/>
      <c r="AD360" s="1708"/>
      <c r="AE360" s="1708"/>
      <c r="AF360" s="1708"/>
      <c r="AG360" s="1708"/>
      <c r="AH360" s="1708"/>
      <c r="AI360" s="1708"/>
      <c r="AJ360" s="1708"/>
      <c r="AK360" s="1708"/>
      <c r="AL360" s="1708"/>
      <c r="AM360" s="1708"/>
      <c r="AN360" s="1708"/>
      <c r="AO360" s="1708"/>
      <c r="AP360" s="1708"/>
      <c r="AQ360" s="1708"/>
      <c r="AR360" s="1708"/>
      <c r="AS360" s="1708"/>
      <c r="AT360" s="1708"/>
      <c r="AU360" s="1708"/>
      <c r="AV360" s="1708"/>
      <c r="AW360" s="1708"/>
      <c r="AX360" s="1708"/>
      <c r="AY360" s="1708"/>
      <c r="AZ360" s="1708"/>
      <c r="BA360" s="1708"/>
      <c r="BB360" s="1708"/>
      <c r="BC360" s="1708"/>
      <c r="BD360" s="1708"/>
      <c r="BE360" s="1708"/>
      <c r="BF360" s="1708"/>
      <c r="BG360" s="1708"/>
      <c r="BH360" s="1708"/>
      <c r="BI360" s="1708"/>
      <c r="BJ360" s="1708"/>
      <c r="BK360" s="1708"/>
      <c r="BL360" s="1708"/>
      <c r="BM360" s="1708"/>
      <c r="BN360" s="1708"/>
      <c r="BO360" s="1708"/>
      <c r="BP360" s="1708"/>
      <c r="BQ360" s="1708"/>
      <c r="BR360" s="1708"/>
      <c r="BS360" s="1708"/>
      <c r="BT360" s="1708"/>
      <c r="BU360" s="1708"/>
      <c r="BV360" s="1708"/>
      <c r="BW360" s="1708"/>
      <c r="BX360" s="1708"/>
      <c r="BY360" s="1708"/>
      <c r="BZ360" s="1708"/>
      <c r="CA360" s="1708"/>
      <c r="CB360" s="1708"/>
      <c r="CC360" s="1708"/>
      <c r="CD360" s="1708"/>
      <c r="CE360" s="1708"/>
      <c r="CF360" s="1708"/>
      <c r="CG360" s="1708"/>
      <c r="CH360" s="1708"/>
      <c r="CI360" s="1708"/>
      <c r="CJ360" s="1708"/>
      <c r="CK360" s="1708"/>
      <c r="CL360" s="1708"/>
      <c r="CM360" s="1708"/>
      <c r="CN360" s="1708"/>
      <c r="CO360" s="1708"/>
      <c r="CP360" s="1708"/>
      <c r="CQ360" s="1708"/>
      <c r="CR360" s="1708"/>
      <c r="CS360" s="1708"/>
      <c r="CT360" s="1708"/>
      <c r="CU360" s="1708"/>
      <c r="CV360" s="1708"/>
      <c r="CW360" s="1708"/>
      <c r="CX360" s="1708"/>
      <c r="CY360" s="1708"/>
      <c r="CZ360" s="1708"/>
      <c r="DA360" s="1708"/>
      <c r="DB360" s="1708"/>
      <c r="DC360" s="1708"/>
      <c r="DD360" s="1708"/>
      <c r="DE360" s="1708"/>
      <c r="DF360" s="1708"/>
      <c r="DG360" s="1708"/>
      <c r="DH360" s="1708"/>
      <c r="DI360" s="1708"/>
      <c r="DJ360" s="1708"/>
      <c r="DK360" s="1708"/>
      <c r="DL360" s="1708"/>
      <c r="DM360" s="1708"/>
      <c r="DN360" s="1708"/>
      <c r="DO360" s="1708"/>
      <c r="DP360" s="1708"/>
      <c r="DQ360" s="1708"/>
      <c r="DR360" s="1708"/>
      <c r="DS360" s="1708"/>
      <c r="DT360" s="1708"/>
      <c r="DU360" s="1708"/>
      <c r="DV360" s="1708"/>
      <c r="DW360" s="1708"/>
      <c r="DX360" s="1708"/>
      <c r="DY360" s="1708"/>
      <c r="DZ360" s="1708"/>
      <c r="EA360" s="1708"/>
      <c r="EB360" s="1708"/>
      <c r="EC360" s="1708"/>
      <c r="ED360" s="1708"/>
      <c r="EE360" s="1708"/>
      <c r="EF360" s="1708"/>
      <c r="EG360" s="1708"/>
      <c r="EH360" s="1708"/>
      <c r="EI360" s="1708"/>
      <c r="EJ360" s="1708"/>
      <c r="EK360" s="1708"/>
      <c r="EL360" s="1708"/>
      <c r="EM360" s="1708"/>
      <c r="EN360" s="1708"/>
      <c r="EO360" s="1708"/>
      <c r="EP360" s="1708"/>
      <c r="EQ360" s="1708"/>
      <c r="ER360" s="1708"/>
      <c r="ES360" s="1708"/>
      <c r="ET360" s="1708"/>
      <c r="EU360" s="1708"/>
      <c r="EV360" s="1708"/>
      <c r="EW360" s="1708"/>
      <c r="EX360" s="1708"/>
      <c r="EY360" s="1708"/>
      <c r="EZ360" s="1708"/>
      <c r="FA360" s="1708"/>
      <c r="FB360" s="1708"/>
      <c r="FC360" s="1708"/>
      <c r="FD360" s="1708"/>
      <c r="FE360" s="1708"/>
      <c r="FF360" s="1708"/>
      <c r="FG360" s="1708"/>
      <c r="FH360" s="1708"/>
      <c r="FI360" s="1708"/>
      <c r="FJ360" s="1708"/>
      <c r="FK360" s="1708"/>
      <c r="FL360" s="1708"/>
      <c r="FM360" s="1708"/>
      <c r="FN360" s="1708"/>
      <c r="FO360" s="1708"/>
      <c r="FP360" s="1708"/>
      <c r="FQ360" s="1708"/>
      <c r="FR360" s="1708"/>
      <c r="FS360" s="1708"/>
      <c r="FT360" s="1708"/>
      <c r="FU360" s="1708"/>
      <c r="FV360" s="1708"/>
      <c r="FW360" s="1708"/>
      <c r="FX360" s="1708"/>
      <c r="FY360" s="1708"/>
      <c r="FZ360" s="1708"/>
      <c r="GA360" s="1708"/>
      <c r="GB360" s="1708"/>
      <c r="GC360" s="1708"/>
      <c r="GD360" s="1708"/>
      <c r="GE360" s="1708"/>
      <c r="GF360" s="1708"/>
      <c r="GG360" s="1708"/>
      <c r="GH360" s="1708"/>
      <c r="GI360" s="1708"/>
      <c r="GJ360" s="1708"/>
      <c r="GK360" s="1708"/>
      <c r="GL360" s="1708"/>
      <c r="GM360" s="1708"/>
      <c r="GN360" s="1708"/>
      <c r="GO360" s="1708"/>
      <c r="GP360" s="1708"/>
      <c r="GQ360" s="1708"/>
      <c r="GR360" s="1708"/>
      <c r="GS360" s="1708"/>
      <c r="GT360" s="1708"/>
      <c r="GU360" s="1708"/>
      <c r="GV360" s="1708"/>
      <c r="GW360" s="1708"/>
      <c r="GX360" s="1708"/>
      <c r="GY360" s="1708"/>
      <c r="GZ360" s="1708"/>
      <c r="HA360" s="1708"/>
      <c r="HB360" s="1708"/>
      <c r="HC360" s="1708"/>
      <c r="HD360" s="1708"/>
      <c r="HE360" s="1708"/>
      <c r="HF360" s="1708"/>
      <c r="HG360" s="1708"/>
      <c r="HH360" s="1708"/>
      <c r="HI360" s="1708"/>
      <c r="HJ360" s="1708"/>
      <c r="HK360" s="1708"/>
      <c r="HL360" s="1708"/>
      <c r="HM360" s="1708"/>
      <c r="HN360" s="1708"/>
      <c r="HO360" s="1708"/>
      <c r="HP360" s="1708"/>
      <c r="HQ360" s="1708"/>
      <c r="HR360" s="1708"/>
      <c r="HS360" s="1708"/>
      <c r="HT360" s="1708"/>
      <c r="HU360" s="1708"/>
      <c r="HV360" s="1708"/>
      <c r="HW360" s="1708"/>
      <c r="HX360" s="1708"/>
      <c r="HY360" s="1708"/>
      <c r="HZ360" s="1708"/>
      <c r="IA360" s="1708"/>
      <c r="IB360" s="1708"/>
      <c r="IC360" s="1708"/>
      <c r="ID360" s="1708"/>
      <c r="IE360" s="1708"/>
      <c r="IF360" s="1708"/>
      <c r="IG360" s="1708"/>
      <c r="IH360" s="1708"/>
      <c r="II360" s="1708"/>
      <c r="IJ360" s="1708"/>
      <c r="IK360" s="1708"/>
      <c r="IL360" s="1708"/>
      <c r="IM360" s="1708"/>
      <c r="IN360" s="1708"/>
      <c r="IO360" s="1708"/>
      <c r="IP360" s="1708"/>
      <c r="IQ360" s="1708"/>
      <c r="IR360" s="1708"/>
      <c r="IS360" s="1708"/>
      <c r="IT360" s="1708"/>
      <c r="IU360" s="1708"/>
      <c r="IV360" s="1708"/>
    </row>
    <row r="361" spans="2:256" s="57" customFormat="1" x14ac:dyDescent="0.25">
      <c r="B361" s="1836"/>
      <c r="G361" s="1849"/>
      <c r="J361" s="1850"/>
      <c r="K361" s="1850"/>
      <c r="S361" s="1708"/>
      <c r="T361" s="1708"/>
      <c r="U361" s="1708"/>
      <c r="V361" s="1708"/>
      <c r="W361" s="1708"/>
      <c r="X361" s="1708"/>
      <c r="Y361" s="1708"/>
      <c r="Z361" s="1708"/>
      <c r="AA361" s="1708"/>
      <c r="AB361" s="1708"/>
      <c r="AC361" s="1708"/>
      <c r="AD361" s="1708"/>
      <c r="AE361" s="1708"/>
      <c r="AF361" s="1708"/>
      <c r="AG361" s="1708"/>
      <c r="AH361" s="1708"/>
      <c r="AI361" s="1708"/>
      <c r="AJ361" s="1708"/>
      <c r="AK361" s="1708"/>
      <c r="AL361" s="1708"/>
      <c r="AM361" s="1708"/>
      <c r="AN361" s="1708"/>
      <c r="AO361" s="1708"/>
      <c r="AP361" s="1708"/>
      <c r="AQ361" s="1708"/>
      <c r="AR361" s="1708"/>
      <c r="AS361" s="1708"/>
      <c r="AT361" s="1708"/>
      <c r="AU361" s="1708"/>
      <c r="AV361" s="1708"/>
      <c r="AW361" s="1708"/>
      <c r="AX361" s="1708"/>
      <c r="AY361" s="1708"/>
      <c r="AZ361" s="1708"/>
      <c r="BA361" s="1708"/>
      <c r="BB361" s="1708"/>
      <c r="BC361" s="1708"/>
      <c r="BD361" s="1708"/>
      <c r="BE361" s="1708"/>
      <c r="BF361" s="1708"/>
      <c r="BG361" s="1708"/>
      <c r="BH361" s="1708"/>
      <c r="BI361" s="1708"/>
      <c r="BJ361" s="1708"/>
      <c r="BK361" s="1708"/>
      <c r="BL361" s="1708"/>
      <c r="BM361" s="1708"/>
      <c r="BN361" s="1708"/>
      <c r="BO361" s="1708"/>
      <c r="BP361" s="1708"/>
      <c r="BQ361" s="1708"/>
      <c r="BR361" s="1708"/>
      <c r="BS361" s="1708"/>
      <c r="BT361" s="1708"/>
      <c r="BU361" s="1708"/>
      <c r="BV361" s="1708"/>
      <c r="BW361" s="1708"/>
      <c r="BX361" s="1708"/>
      <c r="BY361" s="1708"/>
      <c r="BZ361" s="1708"/>
      <c r="CA361" s="1708"/>
      <c r="CB361" s="1708"/>
      <c r="CC361" s="1708"/>
      <c r="CD361" s="1708"/>
      <c r="CE361" s="1708"/>
      <c r="CF361" s="1708"/>
      <c r="CG361" s="1708"/>
      <c r="CH361" s="1708"/>
      <c r="CI361" s="1708"/>
      <c r="CJ361" s="1708"/>
      <c r="CK361" s="1708"/>
      <c r="CL361" s="1708"/>
      <c r="CM361" s="1708"/>
      <c r="CN361" s="1708"/>
      <c r="CO361" s="1708"/>
      <c r="CP361" s="1708"/>
      <c r="CQ361" s="1708"/>
      <c r="CR361" s="1708"/>
      <c r="CS361" s="1708"/>
      <c r="CT361" s="1708"/>
      <c r="CU361" s="1708"/>
      <c r="CV361" s="1708"/>
      <c r="CW361" s="1708"/>
      <c r="CX361" s="1708"/>
      <c r="CY361" s="1708"/>
      <c r="CZ361" s="1708"/>
      <c r="DA361" s="1708"/>
      <c r="DB361" s="1708"/>
      <c r="DC361" s="1708"/>
      <c r="DD361" s="1708"/>
      <c r="DE361" s="1708"/>
      <c r="DF361" s="1708"/>
      <c r="DG361" s="1708"/>
      <c r="DH361" s="1708"/>
      <c r="DI361" s="1708"/>
      <c r="DJ361" s="1708"/>
      <c r="DK361" s="1708"/>
      <c r="DL361" s="1708"/>
      <c r="DM361" s="1708"/>
      <c r="DN361" s="1708"/>
      <c r="DO361" s="1708"/>
      <c r="DP361" s="1708"/>
      <c r="DQ361" s="1708"/>
      <c r="DR361" s="1708"/>
      <c r="DS361" s="1708"/>
      <c r="DT361" s="1708"/>
      <c r="DU361" s="1708"/>
      <c r="DV361" s="1708"/>
      <c r="DW361" s="1708"/>
      <c r="DX361" s="1708"/>
      <c r="DY361" s="1708"/>
      <c r="DZ361" s="1708"/>
      <c r="EA361" s="1708"/>
      <c r="EB361" s="1708"/>
      <c r="EC361" s="1708"/>
      <c r="ED361" s="1708"/>
      <c r="EE361" s="1708"/>
      <c r="EF361" s="1708"/>
      <c r="EG361" s="1708"/>
      <c r="EH361" s="1708"/>
      <c r="EI361" s="1708"/>
      <c r="EJ361" s="1708"/>
      <c r="EK361" s="1708"/>
      <c r="EL361" s="1708"/>
      <c r="EM361" s="1708"/>
      <c r="EN361" s="1708"/>
      <c r="EO361" s="1708"/>
      <c r="EP361" s="1708"/>
      <c r="EQ361" s="1708"/>
      <c r="ER361" s="1708"/>
      <c r="ES361" s="1708"/>
      <c r="ET361" s="1708"/>
      <c r="EU361" s="1708"/>
      <c r="EV361" s="1708"/>
      <c r="EW361" s="1708"/>
      <c r="EX361" s="1708"/>
      <c r="EY361" s="1708"/>
      <c r="EZ361" s="1708"/>
      <c r="FA361" s="1708"/>
      <c r="FB361" s="1708"/>
      <c r="FC361" s="1708"/>
      <c r="FD361" s="1708"/>
      <c r="FE361" s="1708"/>
      <c r="FF361" s="1708"/>
      <c r="FG361" s="1708"/>
      <c r="FH361" s="1708"/>
      <c r="FI361" s="1708"/>
      <c r="FJ361" s="1708"/>
      <c r="FK361" s="1708"/>
      <c r="FL361" s="1708"/>
      <c r="FM361" s="1708"/>
      <c r="FN361" s="1708"/>
      <c r="FO361" s="1708"/>
      <c r="FP361" s="1708"/>
      <c r="FQ361" s="1708"/>
      <c r="FR361" s="1708"/>
      <c r="FS361" s="1708"/>
      <c r="FT361" s="1708"/>
      <c r="FU361" s="1708"/>
      <c r="FV361" s="1708"/>
      <c r="FW361" s="1708"/>
      <c r="FX361" s="1708"/>
      <c r="FY361" s="1708"/>
      <c r="FZ361" s="1708"/>
      <c r="GA361" s="1708"/>
      <c r="GB361" s="1708"/>
      <c r="GC361" s="1708"/>
      <c r="GD361" s="1708"/>
      <c r="GE361" s="1708"/>
      <c r="GF361" s="1708"/>
      <c r="GG361" s="1708"/>
      <c r="GH361" s="1708"/>
      <c r="GI361" s="1708"/>
      <c r="GJ361" s="1708"/>
      <c r="GK361" s="1708"/>
      <c r="GL361" s="1708"/>
      <c r="GM361" s="1708"/>
      <c r="GN361" s="1708"/>
      <c r="GO361" s="1708"/>
      <c r="GP361" s="1708"/>
      <c r="GQ361" s="1708"/>
      <c r="GR361" s="1708"/>
      <c r="GS361" s="1708"/>
      <c r="GT361" s="1708"/>
      <c r="GU361" s="1708"/>
      <c r="GV361" s="1708"/>
      <c r="GW361" s="1708"/>
      <c r="GX361" s="1708"/>
      <c r="GY361" s="1708"/>
      <c r="GZ361" s="1708"/>
      <c r="HA361" s="1708"/>
      <c r="HB361" s="1708"/>
      <c r="HC361" s="1708"/>
      <c r="HD361" s="1708"/>
      <c r="HE361" s="1708"/>
      <c r="HF361" s="1708"/>
      <c r="HG361" s="1708"/>
      <c r="HH361" s="1708"/>
      <c r="HI361" s="1708"/>
      <c r="HJ361" s="1708"/>
      <c r="HK361" s="1708"/>
      <c r="HL361" s="1708"/>
      <c r="HM361" s="1708"/>
      <c r="HN361" s="1708"/>
      <c r="HO361" s="1708"/>
      <c r="HP361" s="1708"/>
      <c r="HQ361" s="1708"/>
      <c r="HR361" s="1708"/>
      <c r="HS361" s="1708"/>
      <c r="HT361" s="1708"/>
      <c r="HU361" s="1708"/>
      <c r="HV361" s="1708"/>
      <c r="HW361" s="1708"/>
      <c r="HX361" s="1708"/>
      <c r="HY361" s="1708"/>
      <c r="HZ361" s="1708"/>
      <c r="IA361" s="1708"/>
      <c r="IB361" s="1708"/>
      <c r="IC361" s="1708"/>
      <c r="ID361" s="1708"/>
      <c r="IE361" s="1708"/>
      <c r="IF361" s="1708"/>
      <c r="IG361" s="1708"/>
      <c r="IH361" s="1708"/>
      <c r="II361" s="1708"/>
      <c r="IJ361" s="1708"/>
      <c r="IK361" s="1708"/>
      <c r="IL361" s="1708"/>
      <c r="IM361" s="1708"/>
      <c r="IN361" s="1708"/>
      <c r="IO361" s="1708"/>
      <c r="IP361" s="1708"/>
      <c r="IQ361" s="1708"/>
      <c r="IR361" s="1708"/>
      <c r="IS361" s="1708"/>
      <c r="IT361" s="1708"/>
      <c r="IU361" s="1708"/>
      <c r="IV361" s="1708"/>
    </row>
    <row r="362" spans="2:256" s="57" customFormat="1" x14ac:dyDescent="0.25">
      <c r="B362" s="1836"/>
      <c r="G362" s="1849"/>
      <c r="J362" s="1850"/>
      <c r="K362" s="1850"/>
      <c r="S362" s="1708"/>
      <c r="T362" s="1708"/>
      <c r="U362" s="1708"/>
      <c r="V362" s="1708"/>
      <c r="W362" s="1708"/>
      <c r="X362" s="1708"/>
      <c r="Y362" s="1708"/>
      <c r="Z362" s="1708"/>
      <c r="AA362" s="1708"/>
      <c r="AB362" s="1708"/>
      <c r="AC362" s="1708"/>
      <c r="AD362" s="1708"/>
      <c r="AE362" s="1708"/>
      <c r="AF362" s="1708"/>
      <c r="AG362" s="1708"/>
      <c r="AH362" s="1708"/>
      <c r="AI362" s="1708"/>
      <c r="AJ362" s="1708"/>
      <c r="AK362" s="1708"/>
      <c r="AL362" s="1708"/>
      <c r="AM362" s="1708"/>
      <c r="AN362" s="1708"/>
      <c r="AO362" s="1708"/>
      <c r="AP362" s="1708"/>
      <c r="AQ362" s="1708"/>
      <c r="AR362" s="1708"/>
      <c r="AS362" s="1708"/>
      <c r="AT362" s="1708"/>
      <c r="AU362" s="1708"/>
      <c r="AV362" s="1708"/>
      <c r="AW362" s="1708"/>
      <c r="AX362" s="1708"/>
      <c r="AY362" s="1708"/>
      <c r="AZ362" s="1708"/>
      <c r="BA362" s="1708"/>
      <c r="BB362" s="1708"/>
      <c r="BC362" s="1708"/>
      <c r="BD362" s="1708"/>
      <c r="BE362" s="1708"/>
      <c r="BF362" s="1708"/>
      <c r="BG362" s="1708"/>
      <c r="BH362" s="1708"/>
      <c r="BI362" s="1708"/>
      <c r="BJ362" s="1708"/>
      <c r="BK362" s="1708"/>
      <c r="BL362" s="1708"/>
      <c r="BM362" s="1708"/>
      <c r="BN362" s="1708"/>
      <c r="BO362" s="1708"/>
      <c r="BP362" s="1708"/>
      <c r="BQ362" s="1708"/>
      <c r="BR362" s="1708"/>
      <c r="BS362" s="1708"/>
      <c r="BT362" s="1708"/>
      <c r="BU362" s="1708"/>
      <c r="BV362" s="1708"/>
      <c r="BW362" s="1708"/>
      <c r="BX362" s="1708"/>
      <c r="BY362" s="1708"/>
      <c r="BZ362" s="1708"/>
      <c r="CA362" s="1708"/>
      <c r="CB362" s="1708"/>
      <c r="CC362" s="1708"/>
      <c r="CD362" s="1708"/>
      <c r="CE362" s="1708"/>
      <c r="CF362" s="1708"/>
      <c r="CG362" s="1708"/>
      <c r="CH362" s="1708"/>
      <c r="CI362" s="1708"/>
      <c r="CJ362" s="1708"/>
      <c r="CK362" s="1708"/>
      <c r="CL362" s="1708"/>
      <c r="CM362" s="1708"/>
      <c r="CN362" s="1708"/>
      <c r="CO362" s="1708"/>
      <c r="CP362" s="1708"/>
      <c r="CQ362" s="1708"/>
      <c r="CR362" s="1708"/>
      <c r="CS362" s="1708"/>
      <c r="CT362" s="1708"/>
      <c r="CU362" s="1708"/>
      <c r="CV362" s="1708"/>
      <c r="CW362" s="1708"/>
      <c r="CX362" s="1708"/>
      <c r="CY362" s="1708"/>
      <c r="CZ362" s="1708"/>
      <c r="DA362" s="1708"/>
      <c r="DB362" s="1708"/>
      <c r="DC362" s="1708"/>
      <c r="DD362" s="1708"/>
      <c r="DE362" s="1708"/>
      <c r="DF362" s="1708"/>
      <c r="DG362" s="1708"/>
      <c r="DH362" s="1708"/>
      <c r="DI362" s="1708"/>
      <c r="DJ362" s="1708"/>
      <c r="DK362" s="1708"/>
      <c r="DL362" s="1708"/>
      <c r="DM362" s="1708"/>
      <c r="DN362" s="1708"/>
      <c r="DO362" s="1708"/>
      <c r="DP362" s="1708"/>
      <c r="DQ362" s="1708"/>
      <c r="DR362" s="1708"/>
      <c r="DS362" s="1708"/>
      <c r="DT362" s="1708"/>
      <c r="DU362" s="1708"/>
      <c r="DV362" s="1708"/>
      <c r="DW362" s="1708"/>
      <c r="DX362" s="1708"/>
      <c r="DY362" s="1708"/>
      <c r="DZ362" s="1708"/>
      <c r="EA362" s="1708"/>
      <c r="EB362" s="1708"/>
      <c r="EC362" s="1708"/>
      <c r="ED362" s="1708"/>
      <c r="EE362" s="1708"/>
      <c r="EF362" s="1708"/>
      <c r="EG362" s="1708"/>
      <c r="EH362" s="1708"/>
      <c r="EI362" s="1708"/>
      <c r="EJ362" s="1708"/>
      <c r="EK362" s="1708"/>
      <c r="EL362" s="1708"/>
      <c r="EM362" s="1708"/>
      <c r="EN362" s="1708"/>
      <c r="EO362" s="1708"/>
      <c r="EP362" s="1708"/>
      <c r="EQ362" s="1708"/>
      <c r="ER362" s="1708"/>
      <c r="ES362" s="1708"/>
      <c r="ET362" s="1708"/>
      <c r="EU362" s="1708"/>
      <c r="EV362" s="1708"/>
      <c r="EW362" s="1708"/>
      <c r="EX362" s="1708"/>
      <c r="EY362" s="1708"/>
      <c r="EZ362" s="1708"/>
      <c r="FA362" s="1708"/>
      <c r="FB362" s="1708"/>
      <c r="FC362" s="1708"/>
      <c r="FD362" s="1708"/>
      <c r="FE362" s="1708"/>
      <c r="FF362" s="1708"/>
      <c r="FG362" s="1708"/>
      <c r="FH362" s="1708"/>
      <c r="FI362" s="1708"/>
      <c r="FJ362" s="1708"/>
      <c r="FK362" s="1708"/>
      <c r="FL362" s="1708"/>
      <c r="FM362" s="1708"/>
      <c r="FN362" s="1708"/>
      <c r="FO362" s="1708"/>
      <c r="FP362" s="1708"/>
      <c r="FQ362" s="1708"/>
      <c r="FR362" s="1708"/>
      <c r="FS362" s="1708"/>
      <c r="FT362" s="1708"/>
      <c r="FU362" s="1708"/>
      <c r="FV362" s="1708"/>
      <c r="FW362" s="1708"/>
      <c r="FX362" s="1708"/>
      <c r="FY362" s="1708"/>
      <c r="FZ362" s="1708"/>
      <c r="GA362" s="1708"/>
      <c r="GB362" s="1708"/>
      <c r="GC362" s="1708"/>
      <c r="GD362" s="1708"/>
      <c r="GE362" s="1708"/>
      <c r="GF362" s="1708"/>
      <c r="GG362" s="1708"/>
      <c r="GH362" s="1708"/>
      <c r="GI362" s="1708"/>
      <c r="GJ362" s="1708"/>
      <c r="GK362" s="1708"/>
      <c r="GL362" s="1708"/>
      <c r="GM362" s="1708"/>
      <c r="GN362" s="1708"/>
      <c r="GO362" s="1708"/>
      <c r="GP362" s="1708"/>
      <c r="GQ362" s="1708"/>
      <c r="GR362" s="1708"/>
      <c r="GS362" s="1708"/>
      <c r="GT362" s="1708"/>
      <c r="GU362" s="1708"/>
      <c r="GV362" s="1708"/>
      <c r="GW362" s="1708"/>
      <c r="GX362" s="1708"/>
      <c r="GY362" s="1708"/>
      <c r="GZ362" s="1708"/>
      <c r="HA362" s="1708"/>
      <c r="HB362" s="1708"/>
      <c r="HC362" s="1708"/>
      <c r="HD362" s="1708"/>
      <c r="HE362" s="1708"/>
      <c r="HF362" s="1708"/>
      <c r="HG362" s="1708"/>
      <c r="HH362" s="1708"/>
      <c r="HI362" s="1708"/>
      <c r="HJ362" s="1708"/>
      <c r="HK362" s="1708"/>
      <c r="HL362" s="1708"/>
      <c r="HM362" s="1708"/>
      <c r="HN362" s="1708"/>
      <c r="HO362" s="1708"/>
      <c r="HP362" s="1708"/>
      <c r="HQ362" s="1708"/>
      <c r="HR362" s="1708"/>
      <c r="HS362" s="1708"/>
      <c r="HT362" s="1708"/>
      <c r="HU362" s="1708"/>
      <c r="HV362" s="1708"/>
      <c r="HW362" s="1708"/>
      <c r="HX362" s="1708"/>
      <c r="HY362" s="1708"/>
      <c r="HZ362" s="1708"/>
      <c r="IA362" s="1708"/>
      <c r="IB362" s="1708"/>
      <c r="IC362" s="1708"/>
      <c r="ID362" s="1708"/>
      <c r="IE362" s="1708"/>
      <c r="IF362" s="1708"/>
      <c r="IG362" s="1708"/>
      <c r="IH362" s="1708"/>
      <c r="II362" s="1708"/>
      <c r="IJ362" s="1708"/>
      <c r="IK362" s="1708"/>
      <c r="IL362" s="1708"/>
      <c r="IM362" s="1708"/>
      <c r="IN362" s="1708"/>
      <c r="IO362" s="1708"/>
      <c r="IP362" s="1708"/>
      <c r="IQ362" s="1708"/>
      <c r="IR362" s="1708"/>
      <c r="IS362" s="1708"/>
      <c r="IT362" s="1708"/>
      <c r="IU362" s="1708"/>
      <c r="IV362" s="1708"/>
    </row>
    <row r="363" spans="2:256" s="57" customFormat="1" x14ac:dyDescent="0.25">
      <c r="B363" s="1836"/>
      <c r="G363" s="1849"/>
      <c r="J363" s="1850"/>
      <c r="K363" s="1850"/>
      <c r="S363" s="1708"/>
      <c r="T363" s="1708"/>
      <c r="U363" s="1708"/>
      <c r="V363" s="1708"/>
      <c r="W363" s="1708"/>
      <c r="X363" s="1708"/>
      <c r="Y363" s="1708"/>
      <c r="Z363" s="1708"/>
      <c r="AA363" s="1708"/>
      <c r="AB363" s="1708"/>
      <c r="AC363" s="1708"/>
      <c r="AD363" s="1708"/>
      <c r="AE363" s="1708"/>
      <c r="AF363" s="1708"/>
      <c r="AG363" s="1708"/>
      <c r="AH363" s="1708"/>
      <c r="AI363" s="1708"/>
      <c r="AJ363" s="1708"/>
      <c r="AK363" s="1708"/>
      <c r="AL363" s="1708"/>
      <c r="AM363" s="1708"/>
      <c r="AN363" s="1708"/>
      <c r="AO363" s="1708"/>
      <c r="AP363" s="1708"/>
      <c r="AQ363" s="1708"/>
      <c r="AR363" s="1708"/>
      <c r="AS363" s="1708"/>
      <c r="AT363" s="1708"/>
      <c r="AU363" s="1708"/>
      <c r="AV363" s="1708"/>
      <c r="AW363" s="1708"/>
      <c r="AX363" s="1708"/>
      <c r="AY363" s="1708"/>
      <c r="AZ363" s="1708"/>
      <c r="BA363" s="1708"/>
      <c r="BB363" s="1708"/>
      <c r="BC363" s="1708"/>
      <c r="BD363" s="1708"/>
      <c r="BE363" s="1708"/>
      <c r="BF363" s="1708"/>
      <c r="BG363" s="1708"/>
      <c r="BH363" s="1708"/>
      <c r="BI363" s="1708"/>
      <c r="BJ363" s="1708"/>
      <c r="BK363" s="1708"/>
      <c r="BL363" s="1708"/>
      <c r="BM363" s="1708"/>
      <c r="BN363" s="1708"/>
      <c r="BO363" s="1708"/>
      <c r="BP363" s="1708"/>
      <c r="BQ363" s="1708"/>
      <c r="BR363" s="1708"/>
      <c r="BS363" s="1708"/>
      <c r="BT363" s="1708"/>
      <c r="BU363" s="1708"/>
      <c r="BV363" s="1708"/>
      <c r="BW363" s="1708"/>
      <c r="BX363" s="1708"/>
      <c r="BY363" s="1708"/>
      <c r="BZ363" s="1708"/>
      <c r="CA363" s="1708"/>
      <c r="CB363" s="1708"/>
      <c r="CC363" s="1708"/>
      <c r="CD363" s="1708"/>
      <c r="CE363" s="1708"/>
      <c r="CF363" s="1708"/>
      <c r="CG363" s="1708"/>
      <c r="CH363" s="1708"/>
      <c r="CI363" s="1708"/>
      <c r="CJ363" s="1708"/>
      <c r="CK363" s="1708"/>
      <c r="CL363" s="1708"/>
      <c r="CM363" s="1708"/>
      <c r="CN363" s="1708"/>
      <c r="CO363" s="1708"/>
      <c r="CP363" s="1708"/>
      <c r="CQ363" s="1708"/>
      <c r="CR363" s="1708"/>
      <c r="CS363" s="1708"/>
      <c r="CT363" s="1708"/>
      <c r="CU363" s="1708"/>
      <c r="CV363" s="1708"/>
      <c r="CW363" s="1708"/>
      <c r="CX363" s="1708"/>
      <c r="CY363" s="1708"/>
      <c r="CZ363" s="1708"/>
      <c r="DA363" s="1708"/>
      <c r="DB363" s="1708"/>
      <c r="DC363" s="1708"/>
      <c r="DD363" s="1708"/>
      <c r="DE363" s="1708"/>
      <c r="DF363" s="1708"/>
      <c r="DG363" s="1708"/>
      <c r="DH363" s="1708"/>
      <c r="DI363" s="1708"/>
      <c r="DJ363" s="1708"/>
      <c r="DK363" s="1708"/>
      <c r="DL363" s="1708"/>
      <c r="DM363" s="1708"/>
      <c r="DN363" s="1708"/>
      <c r="DO363" s="1708"/>
      <c r="DP363" s="1708"/>
      <c r="DQ363" s="1708"/>
      <c r="DR363" s="1708"/>
      <c r="DS363" s="1708"/>
      <c r="DT363" s="1708"/>
      <c r="DU363" s="1708"/>
      <c r="DV363" s="1708"/>
      <c r="DW363" s="1708"/>
      <c r="DX363" s="1708"/>
      <c r="DY363" s="1708"/>
      <c r="DZ363" s="1708"/>
      <c r="EA363" s="1708"/>
      <c r="EB363" s="1708"/>
      <c r="EC363" s="1708"/>
      <c r="ED363" s="1708"/>
      <c r="EE363" s="1708"/>
      <c r="EF363" s="1708"/>
      <c r="EG363" s="1708"/>
      <c r="EH363" s="1708"/>
      <c r="EI363" s="1708"/>
      <c r="EJ363" s="1708"/>
      <c r="EK363" s="1708"/>
      <c r="EL363" s="1708"/>
      <c r="EM363" s="1708"/>
      <c r="EN363" s="1708"/>
      <c r="EO363" s="1708"/>
      <c r="EP363" s="1708"/>
      <c r="EQ363" s="1708"/>
      <c r="ER363" s="1708"/>
      <c r="ES363" s="1708"/>
      <c r="ET363" s="1708"/>
      <c r="EU363" s="1708"/>
      <c r="EV363" s="1708"/>
      <c r="EW363" s="1708"/>
      <c r="EX363" s="1708"/>
      <c r="EY363" s="1708"/>
      <c r="EZ363" s="1708"/>
      <c r="FA363" s="1708"/>
      <c r="FB363" s="1708"/>
      <c r="FC363" s="1708"/>
      <c r="FD363" s="1708"/>
      <c r="FE363" s="1708"/>
      <c r="FF363" s="1708"/>
      <c r="FG363" s="1708"/>
      <c r="FH363" s="1708"/>
      <c r="FI363" s="1708"/>
      <c r="FJ363" s="1708"/>
      <c r="FK363" s="1708"/>
      <c r="FL363" s="1708"/>
      <c r="FM363" s="1708"/>
      <c r="FN363" s="1708"/>
      <c r="FO363" s="1708"/>
      <c r="FP363" s="1708"/>
      <c r="FQ363" s="1708"/>
      <c r="FR363" s="1708"/>
      <c r="FS363" s="1708"/>
      <c r="FT363" s="1708"/>
      <c r="FU363" s="1708"/>
      <c r="FV363" s="1708"/>
      <c r="FW363" s="1708"/>
      <c r="FX363" s="1708"/>
      <c r="FY363" s="1708"/>
      <c r="FZ363" s="1708"/>
      <c r="GA363" s="1708"/>
      <c r="GB363" s="1708"/>
      <c r="GC363" s="1708"/>
      <c r="GD363" s="1708"/>
      <c r="GE363" s="1708"/>
      <c r="GF363" s="1708"/>
      <c r="GG363" s="1708"/>
      <c r="GH363" s="1708"/>
      <c r="GI363" s="1708"/>
      <c r="GJ363" s="1708"/>
      <c r="GK363" s="1708"/>
      <c r="GL363" s="1708"/>
      <c r="GM363" s="1708"/>
      <c r="GN363" s="1708"/>
      <c r="GO363" s="1708"/>
      <c r="GP363" s="1708"/>
      <c r="GQ363" s="1708"/>
      <c r="GR363" s="1708"/>
      <c r="GS363" s="1708"/>
      <c r="GT363" s="1708"/>
      <c r="GU363" s="1708"/>
      <c r="GV363" s="1708"/>
      <c r="GW363" s="1708"/>
      <c r="GX363" s="1708"/>
      <c r="GY363" s="1708"/>
      <c r="GZ363" s="1708"/>
      <c r="HA363" s="1708"/>
      <c r="HB363" s="1708"/>
      <c r="HC363" s="1708"/>
      <c r="HD363" s="1708"/>
      <c r="HE363" s="1708"/>
      <c r="HF363" s="1708"/>
      <c r="HG363" s="1708"/>
      <c r="HH363" s="1708"/>
      <c r="HI363" s="1708"/>
      <c r="HJ363" s="1708"/>
      <c r="HK363" s="1708"/>
      <c r="HL363" s="1708"/>
      <c r="HM363" s="1708"/>
      <c r="HN363" s="1708"/>
      <c r="HO363" s="1708"/>
      <c r="HP363" s="1708"/>
      <c r="HQ363" s="1708"/>
      <c r="HR363" s="1708"/>
      <c r="HS363" s="1708"/>
      <c r="HT363" s="1708"/>
      <c r="HU363" s="1708"/>
      <c r="HV363" s="1708"/>
      <c r="HW363" s="1708"/>
      <c r="HX363" s="1708"/>
      <c r="HY363" s="1708"/>
      <c r="HZ363" s="1708"/>
      <c r="IA363" s="1708"/>
      <c r="IB363" s="1708"/>
      <c r="IC363" s="1708"/>
      <c r="ID363" s="1708"/>
      <c r="IE363" s="1708"/>
      <c r="IF363" s="1708"/>
      <c r="IG363" s="1708"/>
      <c r="IH363" s="1708"/>
      <c r="II363" s="1708"/>
      <c r="IJ363" s="1708"/>
      <c r="IK363" s="1708"/>
      <c r="IL363" s="1708"/>
      <c r="IM363" s="1708"/>
      <c r="IN363" s="1708"/>
      <c r="IO363" s="1708"/>
      <c r="IP363" s="1708"/>
      <c r="IQ363" s="1708"/>
      <c r="IR363" s="1708"/>
      <c r="IS363" s="1708"/>
      <c r="IT363" s="1708"/>
      <c r="IU363" s="1708"/>
      <c r="IV363" s="1708"/>
    </row>
    <row r="364" spans="2:256" s="57" customFormat="1" x14ac:dyDescent="0.25">
      <c r="B364" s="1836"/>
      <c r="G364" s="1849"/>
      <c r="J364" s="1850"/>
      <c r="K364" s="1850"/>
      <c r="S364" s="1708"/>
      <c r="T364" s="1708"/>
      <c r="U364" s="1708"/>
      <c r="V364" s="1708"/>
      <c r="W364" s="1708"/>
      <c r="X364" s="1708"/>
      <c r="Y364" s="1708"/>
      <c r="Z364" s="1708"/>
      <c r="AA364" s="1708"/>
      <c r="AB364" s="1708"/>
      <c r="AC364" s="1708"/>
      <c r="AD364" s="1708"/>
      <c r="AE364" s="1708"/>
      <c r="AF364" s="1708"/>
      <c r="AG364" s="1708"/>
      <c r="AH364" s="1708"/>
      <c r="AI364" s="1708"/>
      <c r="AJ364" s="1708"/>
      <c r="AK364" s="1708"/>
      <c r="AL364" s="1708"/>
      <c r="AM364" s="1708"/>
      <c r="AN364" s="1708"/>
      <c r="AO364" s="1708"/>
      <c r="AP364" s="1708"/>
      <c r="AQ364" s="1708"/>
      <c r="AR364" s="1708"/>
      <c r="AS364" s="1708"/>
      <c r="AT364" s="1708"/>
      <c r="AU364" s="1708"/>
      <c r="AV364" s="1708"/>
      <c r="AW364" s="1708"/>
      <c r="AX364" s="1708"/>
      <c r="AY364" s="1708"/>
      <c r="AZ364" s="1708"/>
      <c r="BA364" s="1708"/>
      <c r="BB364" s="1708"/>
      <c r="BC364" s="1708"/>
      <c r="BD364" s="1708"/>
      <c r="BE364" s="1708"/>
      <c r="BF364" s="1708"/>
      <c r="BG364" s="1708"/>
      <c r="BH364" s="1708"/>
      <c r="BI364" s="1708"/>
      <c r="BJ364" s="1708"/>
      <c r="BK364" s="1708"/>
      <c r="BL364" s="1708"/>
      <c r="BM364" s="1708"/>
      <c r="BN364" s="1708"/>
      <c r="BO364" s="1708"/>
      <c r="BP364" s="1708"/>
      <c r="BQ364" s="1708"/>
      <c r="BR364" s="1708"/>
      <c r="BS364" s="1708"/>
      <c r="BT364" s="1708"/>
      <c r="BU364" s="1708"/>
      <c r="BV364" s="1708"/>
      <c r="BW364" s="1708"/>
      <c r="BX364" s="1708"/>
      <c r="BY364" s="1708"/>
      <c r="BZ364" s="1708"/>
      <c r="CA364" s="1708"/>
      <c r="CB364" s="1708"/>
      <c r="CC364" s="1708"/>
      <c r="CD364" s="1708"/>
      <c r="CE364" s="1708"/>
      <c r="CF364" s="1708"/>
      <c r="CG364" s="1708"/>
      <c r="CH364" s="1708"/>
      <c r="CI364" s="1708"/>
      <c r="CJ364" s="1708"/>
      <c r="CK364" s="1708"/>
      <c r="CL364" s="1708"/>
      <c r="CM364" s="1708"/>
      <c r="CN364" s="1708"/>
      <c r="CO364" s="1708"/>
      <c r="CP364" s="1708"/>
      <c r="CQ364" s="1708"/>
      <c r="CR364" s="1708"/>
      <c r="CS364" s="1708"/>
      <c r="CT364" s="1708"/>
      <c r="CU364" s="1708"/>
      <c r="CV364" s="1708"/>
      <c r="CW364" s="1708"/>
      <c r="CX364" s="1708"/>
      <c r="CY364" s="1708"/>
      <c r="CZ364" s="1708"/>
      <c r="DA364" s="1708"/>
      <c r="DB364" s="1708"/>
      <c r="DC364" s="1708"/>
      <c r="DD364" s="1708"/>
      <c r="DE364" s="1708"/>
      <c r="DF364" s="1708"/>
      <c r="DG364" s="1708"/>
      <c r="DH364" s="1708"/>
      <c r="DI364" s="1708"/>
      <c r="DJ364" s="1708"/>
      <c r="DK364" s="1708"/>
      <c r="DL364" s="1708"/>
      <c r="DM364" s="1708"/>
      <c r="DN364" s="1708"/>
      <c r="DO364" s="1708"/>
      <c r="DP364" s="1708"/>
      <c r="DQ364" s="1708"/>
      <c r="DR364" s="1708"/>
      <c r="DS364" s="1708"/>
      <c r="DT364" s="1708"/>
      <c r="DU364" s="1708"/>
      <c r="DV364" s="1708"/>
      <c r="DW364" s="1708"/>
      <c r="DX364" s="1708"/>
      <c r="DY364" s="1708"/>
      <c r="DZ364" s="1708"/>
      <c r="EA364" s="1708"/>
      <c r="EB364" s="1708"/>
      <c r="EC364" s="1708"/>
      <c r="ED364" s="1708"/>
      <c r="EE364" s="1708"/>
      <c r="EF364" s="1708"/>
      <c r="EG364" s="1708"/>
      <c r="EH364" s="1708"/>
      <c r="EI364" s="1708"/>
      <c r="EJ364" s="1708"/>
      <c r="EK364" s="1708"/>
      <c r="EL364" s="1708"/>
      <c r="EM364" s="1708"/>
      <c r="EN364" s="1708"/>
      <c r="EO364" s="1708"/>
      <c r="EP364" s="1708"/>
      <c r="EQ364" s="1708"/>
      <c r="ER364" s="1708"/>
      <c r="ES364" s="1708"/>
      <c r="ET364" s="1708"/>
      <c r="EU364" s="1708"/>
      <c r="EV364" s="1708"/>
      <c r="EW364" s="1708"/>
      <c r="EX364" s="1708"/>
      <c r="EY364" s="1708"/>
      <c r="EZ364" s="1708"/>
      <c r="FA364" s="1708"/>
      <c r="FB364" s="1708"/>
      <c r="FC364" s="1708"/>
      <c r="FD364" s="1708"/>
      <c r="FE364" s="1708"/>
      <c r="FF364" s="1708"/>
      <c r="FG364" s="1708"/>
      <c r="FH364" s="1708"/>
      <c r="FI364" s="1708"/>
      <c r="FJ364" s="1708"/>
      <c r="FK364" s="1708"/>
      <c r="FL364" s="1708"/>
      <c r="FM364" s="1708"/>
      <c r="FN364" s="1708"/>
      <c r="FO364" s="1708"/>
      <c r="FP364" s="1708"/>
      <c r="FQ364" s="1708"/>
      <c r="FR364" s="1708"/>
      <c r="FS364" s="1708"/>
      <c r="FT364" s="1708"/>
      <c r="FU364" s="1708"/>
      <c r="FV364" s="1708"/>
      <c r="FW364" s="1708"/>
      <c r="FX364" s="1708"/>
      <c r="FY364" s="1708"/>
      <c r="FZ364" s="1708"/>
      <c r="GA364" s="1708"/>
      <c r="GB364" s="1708"/>
      <c r="GC364" s="1708"/>
      <c r="GD364" s="1708"/>
      <c r="GE364" s="1708"/>
      <c r="GF364" s="1708"/>
      <c r="GG364" s="1708"/>
      <c r="GH364" s="1708"/>
      <c r="GI364" s="1708"/>
      <c r="GJ364" s="1708"/>
      <c r="GK364" s="1708"/>
      <c r="GL364" s="1708"/>
      <c r="GM364" s="1708"/>
      <c r="GN364" s="1708"/>
      <c r="GO364" s="1708"/>
      <c r="GP364" s="1708"/>
      <c r="GQ364" s="1708"/>
      <c r="GR364" s="1708"/>
      <c r="GS364" s="1708"/>
      <c r="GT364" s="1708"/>
      <c r="GU364" s="1708"/>
      <c r="GV364" s="1708"/>
      <c r="GW364" s="1708"/>
      <c r="GX364" s="1708"/>
      <c r="GY364" s="1708"/>
      <c r="GZ364" s="1708"/>
      <c r="HA364" s="1708"/>
      <c r="HB364" s="1708"/>
      <c r="HC364" s="1708"/>
      <c r="HD364" s="1708"/>
      <c r="HE364" s="1708"/>
      <c r="HF364" s="1708"/>
      <c r="HG364" s="1708"/>
      <c r="HH364" s="1708"/>
      <c r="HI364" s="1708"/>
      <c r="HJ364" s="1708"/>
      <c r="HK364" s="1708"/>
      <c r="HL364" s="1708"/>
      <c r="HM364" s="1708"/>
      <c r="HN364" s="1708"/>
      <c r="HO364" s="1708"/>
      <c r="HP364" s="1708"/>
      <c r="HQ364" s="1708"/>
      <c r="HR364" s="1708"/>
      <c r="HS364" s="1708"/>
      <c r="HT364" s="1708"/>
      <c r="HU364" s="1708"/>
      <c r="HV364" s="1708"/>
      <c r="HW364" s="1708"/>
      <c r="HX364" s="1708"/>
      <c r="HY364" s="1708"/>
      <c r="HZ364" s="1708"/>
      <c r="IA364" s="1708"/>
      <c r="IB364" s="1708"/>
      <c r="IC364" s="1708"/>
      <c r="ID364" s="1708"/>
      <c r="IE364" s="1708"/>
      <c r="IF364" s="1708"/>
      <c r="IG364" s="1708"/>
      <c r="IH364" s="1708"/>
      <c r="II364" s="1708"/>
      <c r="IJ364" s="1708"/>
      <c r="IK364" s="1708"/>
      <c r="IL364" s="1708"/>
      <c r="IM364" s="1708"/>
      <c r="IN364" s="1708"/>
      <c r="IO364" s="1708"/>
      <c r="IP364" s="1708"/>
      <c r="IQ364" s="1708"/>
      <c r="IR364" s="1708"/>
      <c r="IS364" s="1708"/>
      <c r="IT364" s="1708"/>
      <c r="IU364" s="1708"/>
      <c r="IV364" s="1708"/>
    </row>
    <row r="365" spans="2:256" s="57" customFormat="1" x14ac:dyDescent="0.25">
      <c r="B365" s="1836"/>
      <c r="G365" s="1849"/>
      <c r="J365" s="1850"/>
      <c r="K365" s="1850"/>
      <c r="S365" s="1708"/>
      <c r="T365" s="1708"/>
      <c r="U365" s="1708"/>
      <c r="V365" s="1708"/>
      <c r="W365" s="1708"/>
      <c r="X365" s="1708"/>
      <c r="Y365" s="1708"/>
      <c r="Z365" s="1708"/>
      <c r="AA365" s="1708"/>
      <c r="AB365" s="1708"/>
      <c r="AC365" s="1708"/>
      <c r="AD365" s="1708"/>
      <c r="AE365" s="1708"/>
      <c r="AF365" s="1708"/>
      <c r="AG365" s="1708"/>
      <c r="AH365" s="1708"/>
      <c r="AI365" s="1708"/>
      <c r="AJ365" s="1708"/>
      <c r="AK365" s="1708"/>
      <c r="AL365" s="1708"/>
      <c r="AM365" s="1708"/>
      <c r="AN365" s="1708"/>
      <c r="AO365" s="1708"/>
      <c r="AP365" s="1708"/>
      <c r="AQ365" s="1708"/>
      <c r="AR365" s="1708"/>
      <c r="AS365" s="1708"/>
      <c r="AT365" s="1708"/>
      <c r="AU365" s="1708"/>
      <c r="AV365" s="1708"/>
      <c r="AW365" s="1708"/>
      <c r="AX365" s="1708"/>
      <c r="AY365" s="1708"/>
      <c r="AZ365" s="1708"/>
      <c r="BA365" s="1708"/>
      <c r="BB365" s="1708"/>
      <c r="BC365" s="1708"/>
      <c r="BD365" s="1708"/>
      <c r="BE365" s="1708"/>
      <c r="BF365" s="1708"/>
      <c r="BG365" s="1708"/>
      <c r="BH365" s="1708"/>
      <c r="BI365" s="1708"/>
      <c r="BJ365" s="1708"/>
      <c r="BK365" s="1708"/>
      <c r="BL365" s="1708"/>
      <c r="BM365" s="1708"/>
      <c r="BN365" s="1708"/>
      <c r="BO365" s="1708"/>
      <c r="BP365" s="1708"/>
      <c r="BQ365" s="1708"/>
      <c r="BR365" s="1708"/>
      <c r="BS365" s="1708"/>
      <c r="BT365" s="1708"/>
      <c r="BU365" s="1708"/>
      <c r="BV365" s="1708"/>
      <c r="BW365" s="1708"/>
      <c r="BX365" s="1708"/>
      <c r="BY365" s="1708"/>
      <c r="BZ365" s="1708"/>
      <c r="CA365" s="1708"/>
      <c r="CB365" s="1708"/>
      <c r="CC365" s="1708"/>
      <c r="CD365" s="1708"/>
      <c r="CE365" s="1708"/>
      <c r="CF365" s="1708"/>
      <c r="CG365" s="1708"/>
      <c r="CH365" s="1708"/>
      <c r="CI365" s="1708"/>
      <c r="CJ365" s="1708"/>
      <c r="CK365" s="1708"/>
      <c r="CL365" s="1708"/>
      <c r="CM365" s="1708"/>
      <c r="CN365" s="1708"/>
      <c r="CO365" s="1708"/>
      <c r="CP365" s="1708"/>
      <c r="CQ365" s="1708"/>
      <c r="CR365" s="1708"/>
      <c r="CS365" s="1708"/>
      <c r="CT365" s="1708"/>
      <c r="CU365" s="1708"/>
      <c r="CV365" s="1708"/>
      <c r="CW365" s="1708"/>
      <c r="CX365" s="1708"/>
      <c r="CY365" s="1708"/>
      <c r="CZ365" s="1708"/>
      <c r="DA365" s="1708"/>
      <c r="DB365" s="1708"/>
      <c r="DC365" s="1708"/>
      <c r="DD365" s="1708"/>
      <c r="DE365" s="1708"/>
      <c r="DF365" s="1708"/>
      <c r="DG365" s="1708"/>
      <c r="DH365" s="1708"/>
      <c r="DI365" s="1708"/>
      <c r="DJ365" s="1708"/>
      <c r="DK365" s="1708"/>
      <c r="DL365" s="1708"/>
      <c r="DM365" s="1708"/>
      <c r="DN365" s="1708"/>
      <c r="DO365" s="1708"/>
      <c r="DP365" s="1708"/>
      <c r="DQ365" s="1708"/>
      <c r="DR365" s="1708"/>
      <c r="DS365" s="1708"/>
      <c r="DT365" s="1708"/>
      <c r="DU365" s="1708"/>
      <c r="DV365" s="1708"/>
      <c r="DW365" s="1708"/>
      <c r="DX365" s="1708"/>
      <c r="DY365" s="1708"/>
      <c r="DZ365" s="1708"/>
      <c r="EA365" s="1708"/>
      <c r="EB365" s="1708"/>
      <c r="EC365" s="1708"/>
      <c r="ED365" s="1708"/>
      <c r="EE365" s="1708"/>
      <c r="EF365" s="1708"/>
      <c r="EG365" s="1708"/>
      <c r="EH365" s="1708"/>
      <c r="EI365" s="1708"/>
      <c r="EJ365" s="1708"/>
      <c r="EK365" s="1708"/>
      <c r="EL365" s="1708"/>
      <c r="EM365" s="1708"/>
      <c r="EN365" s="1708"/>
      <c r="EO365" s="1708"/>
      <c r="EP365" s="1708"/>
      <c r="EQ365" s="1708"/>
      <c r="ER365" s="1708"/>
      <c r="ES365" s="1708"/>
      <c r="ET365" s="1708"/>
      <c r="EU365" s="1708"/>
      <c r="EV365" s="1708"/>
      <c r="EW365" s="1708"/>
      <c r="EX365" s="1708"/>
      <c r="EY365" s="1708"/>
      <c r="EZ365" s="1708"/>
      <c r="FA365" s="1708"/>
      <c r="FB365" s="1708"/>
      <c r="FC365" s="1708"/>
      <c r="FD365" s="1708"/>
      <c r="FE365" s="1708"/>
      <c r="FF365" s="1708"/>
      <c r="FG365" s="1708"/>
      <c r="FH365" s="1708"/>
      <c r="FI365" s="1708"/>
      <c r="FJ365" s="1708"/>
      <c r="FK365" s="1708"/>
      <c r="FL365" s="1708"/>
      <c r="FM365" s="1708"/>
      <c r="FN365" s="1708"/>
      <c r="FO365" s="1708"/>
      <c r="FP365" s="1708"/>
      <c r="FQ365" s="1708"/>
      <c r="FR365" s="1708"/>
      <c r="FS365" s="1708"/>
      <c r="FT365" s="1708"/>
      <c r="FU365" s="1708"/>
      <c r="FV365" s="1708"/>
      <c r="FW365" s="1708"/>
      <c r="FX365" s="1708"/>
      <c r="FY365" s="1708"/>
      <c r="FZ365" s="1708"/>
      <c r="GA365" s="1708"/>
      <c r="GB365" s="1708"/>
      <c r="GC365" s="1708"/>
      <c r="GD365" s="1708"/>
      <c r="GE365" s="1708"/>
      <c r="GF365" s="1708"/>
      <c r="GG365" s="1708"/>
      <c r="GH365" s="1708"/>
      <c r="GI365" s="1708"/>
      <c r="GJ365" s="1708"/>
      <c r="GK365" s="1708"/>
      <c r="GL365" s="1708"/>
      <c r="GM365" s="1708"/>
      <c r="GN365" s="1708"/>
      <c r="GO365" s="1708"/>
      <c r="GP365" s="1708"/>
      <c r="GQ365" s="1708"/>
      <c r="GR365" s="1708"/>
      <c r="GS365" s="1708"/>
      <c r="GT365" s="1708"/>
      <c r="GU365" s="1708"/>
      <c r="GV365" s="1708"/>
      <c r="GW365" s="1708"/>
      <c r="GX365" s="1708"/>
      <c r="GY365" s="1708"/>
      <c r="GZ365" s="1708"/>
      <c r="HA365" s="1708"/>
      <c r="HB365" s="1708"/>
      <c r="HC365" s="1708"/>
      <c r="HD365" s="1708"/>
      <c r="HE365" s="1708"/>
      <c r="HF365" s="1708"/>
      <c r="HG365" s="1708"/>
      <c r="HH365" s="1708"/>
      <c r="HI365" s="1708"/>
      <c r="HJ365" s="1708"/>
      <c r="HK365" s="1708"/>
      <c r="HL365" s="1708"/>
      <c r="HM365" s="1708"/>
      <c r="HN365" s="1708"/>
      <c r="HO365" s="1708"/>
      <c r="HP365" s="1708"/>
      <c r="HQ365" s="1708"/>
      <c r="HR365" s="1708"/>
      <c r="HS365" s="1708"/>
      <c r="HT365" s="1708"/>
      <c r="HU365" s="1708"/>
      <c r="HV365" s="1708"/>
      <c r="HW365" s="1708"/>
      <c r="HX365" s="1708"/>
      <c r="HY365" s="1708"/>
      <c r="HZ365" s="1708"/>
      <c r="IA365" s="1708"/>
      <c r="IB365" s="1708"/>
      <c r="IC365" s="1708"/>
      <c r="ID365" s="1708"/>
      <c r="IE365" s="1708"/>
      <c r="IF365" s="1708"/>
      <c r="IG365" s="1708"/>
      <c r="IH365" s="1708"/>
      <c r="II365" s="1708"/>
      <c r="IJ365" s="1708"/>
      <c r="IK365" s="1708"/>
      <c r="IL365" s="1708"/>
      <c r="IM365" s="1708"/>
      <c r="IN365" s="1708"/>
      <c r="IO365" s="1708"/>
      <c r="IP365" s="1708"/>
      <c r="IQ365" s="1708"/>
      <c r="IR365" s="1708"/>
      <c r="IS365" s="1708"/>
      <c r="IT365" s="1708"/>
      <c r="IU365" s="1708"/>
      <c r="IV365" s="1708"/>
    </row>
    <row r="366" spans="2:256" s="57" customFormat="1" x14ac:dyDescent="0.25">
      <c r="B366" s="1836"/>
      <c r="G366" s="1849"/>
      <c r="J366" s="1850"/>
      <c r="K366" s="1850"/>
      <c r="S366" s="1708"/>
      <c r="T366" s="1708"/>
      <c r="U366" s="1708"/>
      <c r="V366" s="1708"/>
      <c r="W366" s="1708"/>
      <c r="X366" s="1708"/>
      <c r="Y366" s="1708"/>
      <c r="Z366" s="1708"/>
      <c r="AA366" s="1708"/>
      <c r="AB366" s="1708"/>
      <c r="AC366" s="1708"/>
      <c r="AD366" s="1708"/>
      <c r="AE366" s="1708"/>
      <c r="AF366" s="1708"/>
      <c r="AG366" s="1708"/>
      <c r="AH366" s="1708"/>
      <c r="AI366" s="1708"/>
      <c r="AJ366" s="1708"/>
      <c r="AK366" s="1708"/>
      <c r="AL366" s="1708"/>
      <c r="AM366" s="1708"/>
      <c r="AN366" s="1708"/>
      <c r="AO366" s="1708"/>
      <c r="AP366" s="1708"/>
      <c r="AQ366" s="1708"/>
      <c r="AR366" s="1708"/>
      <c r="AS366" s="1708"/>
      <c r="AT366" s="1708"/>
      <c r="AU366" s="1708"/>
      <c r="AV366" s="1708"/>
      <c r="AW366" s="1708"/>
      <c r="AX366" s="1708"/>
      <c r="AY366" s="1708"/>
      <c r="AZ366" s="1708"/>
      <c r="BA366" s="1708"/>
      <c r="BB366" s="1708"/>
      <c r="BC366" s="1708"/>
      <c r="BD366" s="1708"/>
      <c r="BE366" s="1708"/>
      <c r="BF366" s="1708"/>
      <c r="BG366" s="1708"/>
      <c r="BH366" s="1708"/>
      <c r="BI366" s="1708"/>
      <c r="BJ366" s="1708"/>
      <c r="BK366" s="1708"/>
      <c r="BL366" s="1708"/>
      <c r="BM366" s="1708"/>
      <c r="BN366" s="1708"/>
      <c r="BO366" s="1708"/>
      <c r="BP366" s="1708"/>
      <c r="BQ366" s="1708"/>
      <c r="BR366" s="1708"/>
      <c r="BS366" s="1708"/>
      <c r="BT366" s="1708"/>
      <c r="BU366" s="1708"/>
      <c r="BV366" s="1708"/>
      <c r="BW366" s="1708"/>
      <c r="BX366" s="1708"/>
      <c r="BY366" s="1708"/>
      <c r="BZ366" s="1708"/>
      <c r="CA366" s="1708"/>
      <c r="CB366" s="1708"/>
      <c r="CC366" s="1708"/>
      <c r="CD366" s="1708"/>
      <c r="CE366" s="1708"/>
      <c r="CF366" s="1708"/>
      <c r="CG366" s="1708"/>
      <c r="CH366" s="1708"/>
      <c r="CI366" s="1708"/>
      <c r="CJ366" s="1708"/>
      <c r="CK366" s="1708"/>
      <c r="CL366" s="1708"/>
      <c r="CM366" s="1708"/>
      <c r="CN366" s="1708"/>
      <c r="CO366" s="1708"/>
      <c r="CP366" s="1708"/>
      <c r="CQ366" s="1708"/>
      <c r="CR366" s="1708"/>
      <c r="CS366" s="1708"/>
      <c r="CT366" s="1708"/>
      <c r="CU366" s="1708"/>
      <c r="CV366" s="1708"/>
      <c r="CW366" s="1708"/>
      <c r="CX366" s="1708"/>
      <c r="CY366" s="1708"/>
      <c r="CZ366" s="1708"/>
      <c r="DA366" s="1708"/>
      <c r="DB366" s="1708"/>
      <c r="DC366" s="1708"/>
      <c r="DD366" s="1708"/>
      <c r="DE366" s="1708"/>
      <c r="DF366" s="1708"/>
      <c r="DG366" s="1708"/>
      <c r="DH366" s="1708"/>
      <c r="DI366" s="1708"/>
      <c r="DJ366" s="1708"/>
      <c r="DK366" s="1708"/>
      <c r="DL366" s="1708"/>
      <c r="DM366" s="1708"/>
      <c r="DN366" s="1708"/>
      <c r="DO366" s="1708"/>
      <c r="DP366" s="1708"/>
      <c r="DQ366" s="1708"/>
      <c r="DR366" s="1708"/>
      <c r="DS366" s="1708"/>
      <c r="DT366" s="1708"/>
      <c r="DU366" s="1708"/>
      <c r="DV366" s="1708"/>
      <c r="DW366" s="1708"/>
      <c r="DX366" s="1708"/>
      <c r="DY366" s="1708"/>
      <c r="DZ366" s="1708"/>
      <c r="EA366" s="1708"/>
      <c r="EB366" s="1708"/>
      <c r="EC366" s="1708"/>
      <c r="ED366" s="1708"/>
      <c r="EE366" s="1708"/>
      <c r="EF366" s="1708"/>
      <c r="EG366" s="1708"/>
      <c r="EH366" s="1708"/>
      <c r="EI366" s="1708"/>
      <c r="EJ366" s="1708"/>
      <c r="EK366" s="1708"/>
      <c r="EL366" s="1708"/>
      <c r="EM366" s="1708"/>
      <c r="EN366" s="1708"/>
      <c r="EO366" s="1708"/>
      <c r="EP366" s="1708"/>
      <c r="EQ366" s="1708"/>
      <c r="ER366" s="1708"/>
      <c r="ES366" s="1708"/>
      <c r="ET366" s="1708"/>
      <c r="EU366" s="1708"/>
      <c r="EV366" s="1708"/>
      <c r="EW366" s="1708"/>
      <c r="EX366" s="1708"/>
      <c r="EY366" s="1708"/>
      <c r="EZ366" s="1708"/>
      <c r="FA366" s="1708"/>
      <c r="FB366" s="1708"/>
      <c r="FC366" s="1708"/>
      <c r="FD366" s="1708"/>
      <c r="FE366" s="1708"/>
      <c r="FF366" s="1708"/>
      <c r="FG366" s="1708"/>
      <c r="FH366" s="1708"/>
      <c r="FI366" s="1708"/>
      <c r="FJ366" s="1708"/>
      <c r="FK366" s="1708"/>
      <c r="FL366" s="1708"/>
      <c r="FM366" s="1708"/>
      <c r="FN366" s="1708"/>
      <c r="FO366" s="1708"/>
      <c r="FP366" s="1708"/>
      <c r="FQ366" s="1708"/>
      <c r="FR366" s="1708"/>
      <c r="FS366" s="1708"/>
      <c r="FT366" s="1708"/>
      <c r="FU366" s="1708"/>
      <c r="FV366" s="1708"/>
      <c r="FW366" s="1708"/>
      <c r="FX366" s="1708"/>
      <c r="FY366" s="1708"/>
      <c r="FZ366" s="1708"/>
      <c r="GA366" s="1708"/>
      <c r="GB366" s="1708"/>
      <c r="GC366" s="1708"/>
      <c r="GD366" s="1708"/>
      <c r="GE366" s="1708"/>
      <c r="GF366" s="1708"/>
      <c r="GG366" s="1708"/>
      <c r="GH366" s="1708"/>
      <c r="GI366" s="1708"/>
      <c r="GJ366" s="1708"/>
      <c r="GK366" s="1708"/>
      <c r="GL366" s="1708"/>
      <c r="GM366" s="1708"/>
      <c r="GN366" s="1708"/>
      <c r="GO366" s="1708"/>
      <c r="GP366" s="1708"/>
      <c r="GQ366" s="1708"/>
      <c r="GR366" s="1708"/>
      <c r="GS366" s="1708"/>
      <c r="GT366" s="1708"/>
      <c r="GU366" s="1708"/>
      <c r="GV366" s="1708"/>
      <c r="GW366" s="1708"/>
      <c r="GX366" s="1708"/>
      <c r="GY366" s="1708"/>
      <c r="GZ366" s="1708"/>
      <c r="HA366" s="1708"/>
      <c r="HB366" s="1708"/>
      <c r="HC366" s="1708"/>
      <c r="HD366" s="1708"/>
      <c r="HE366" s="1708"/>
      <c r="HF366" s="1708"/>
      <c r="HG366" s="1708"/>
      <c r="HH366" s="1708"/>
      <c r="HI366" s="1708"/>
      <c r="HJ366" s="1708"/>
      <c r="HK366" s="1708"/>
      <c r="HL366" s="1708"/>
      <c r="HM366" s="1708"/>
      <c r="HN366" s="1708"/>
      <c r="HO366" s="1708"/>
      <c r="HP366" s="1708"/>
      <c r="HQ366" s="1708"/>
      <c r="HR366" s="1708"/>
      <c r="HS366" s="1708"/>
      <c r="HT366" s="1708"/>
      <c r="HU366" s="1708"/>
      <c r="HV366" s="1708"/>
      <c r="HW366" s="1708"/>
      <c r="HX366" s="1708"/>
      <c r="HY366" s="1708"/>
      <c r="HZ366" s="1708"/>
      <c r="IA366" s="1708"/>
      <c r="IB366" s="1708"/>
      <c r="IC366" s="1708"/>
      <c r="ID366" s="1708"/>
      <c r="IE366" s="1708"/>
      <c r="IF366" s="1708"/>
      <c r="IG366" s="1708"/>
      <c r="IH366" s="1708"/>
      <c r="II366" s="1708"/>
      <c r="IJ366" s="1708"/>
      <c r="IK366" s="1708"/>
      <c r="IL366" s="1708"/>
      <c r="IM366" s="1708"/>
      <c r="IN366" s="1708"/>
      <c r="IO366" s="1708"/>
      <c r="IP366" s="1708"/>
      <c r="IQ366" s="1708"/>
      <c r="IR366" s="1708"/>
      <c r="IS366" s="1708"/>
      <c r="IT366" s="1708"/>
      <c r="IU366" s="1708"/>
      <c r="IV366" s="1708"/>
    </row>
    <row r="367" spans="2:256" s="57" customFormat="1" x14ac:dyDescent="0.25">
      <c r="B367" s="1836"/>
      <c r="G367" s="1849"/>
      <c r="J367" s="1850"/>
      <c r="K367" s="1850"/>
      <c r="S367" s="1708"/>
      <c r="T367" s="1708"/>
      <c r="U367" s="1708"/>
      <c r="V367" s="1708"/>
      <c r="W367" s="1708"/>
      <c r="X367" s="1708"/>
      <c r="Y367" s="1708"/>
      <c r="Z367" s="1708"/>
      <c r="AA367" s="1708"/>
      <c r="AB367" s="1708"/>
      <c r="AC367" s="1708"/>
      <c r="AD367" s="1708"/>
      <c r="AE367" s="1708"/>
      <c r="AF367" s="1708"/>
      <c r="AG367" s="1708"/>
      <c r="AH367" s="1708"/>
      <c r="AI367" s="1708"/>
      <c r="AJ367" s="1708"/>
      <c r="AK367" s="1708"/>
      <c r="AL367" s="1708"/>
      <c r="AM367" s="1708"/>
      <c r="AN367" s="1708"/>
      <c r="AO367" s="1708"/>
      <c r="AP367" s="1708"/>
      <c r="AQ367" s="1708"/>
      <c r="AR367" s="1708"/>
      <c r="AS367" s="1708"/>
      <c r="AT367" s="1708"/>
      <c r="AU367" s="1708"/>
      <c r="AV367" s="1708"/>
      <c r="AW367" s="1708"/>
      <c r="AX367" s="1708"/>
      <c r="AY367" s="1708"/>
      <c r="AZ367" s="1708"/>
      <c r="BA367" s="1708"/>
      <c r="BB367" s="1708"/>
      <c r="BC367" s="1708"/>
      <c r="BD367" s="1708"/>
      <c r="BE367" s="1708"/>
      <c r="BF367" s="1708"/>
      <c r="BG367" s="1708"/>
      <c r="BH367" s="1708"/>
      <c r="BI367" s="1708"/>
      <c r="BJ367" s="1708"/>
      <c r="BK367" s="1708"/>
      <c r="BL367" s="1708"/>
      <c r="BM367" s="1708"/>
      <c r="BN367" s="1708"/>
      <c r="BO367" s="1708"/>
      <c r="BP367" s="1708"/>
      <c r="BQ367" s="1708"/>
      <c r="BR367" s="1708"/>
      <c r="BS367" s="1708"/>
      <c r="BT367" s="1708"/>
      <c r="BU367" s="1708"/>
      <c r="BV367" s="1708"/>
      <c r="BW367" s="1708"/>
      <c r="BX367" s="1708"/>
      <c r="BY367" s="1708"/>
      <c r="BZ367" s="1708"/>
      <c r="CA367" s="1708"/>
      <c r="CB367" s="1708"/>
      <c r="CC367" s="1708"/>
      <c r="CD367" s="1708"/>
      <c r="CE367" s="1708"/>
      <c r="CF367" s="1708"/>
      <c r="CG367" s="1708"/>
      <c r="CH367" s="1708"/>
      <c r="CI367" s="1708"/>
      <c r="CJ367" s="1708"/>
      <c r="CK367" s="1708"/>
      <c r="CL367" s="1708"/>
      <c r="CM367" s="1708"/>
      <c r="CN367" s="1708"/>
      <c r="CO367" s="1708"/>
      <c r="CP367" s="1708"/>
      <c r="CQ367" s="1708"/>
      <c r="CR367" s="1708"/>
      <c r="CS367" s="1708"/>
      <c r="CT367" s="1708"/>
      <c r="CU367" s="1708"/>
      <c r="CV367" s="1708"/>
      <c r="CW367" s="1708"/>
      <c r="CX367" s="1708"/>
      <c r="CY367" s="1708"/>
      <c r="CZ367" s="1708"/>
      <c r="DA367" s="1708"/>
      <c r="DB367" s="1708"/>
      <c r="DC367" s="1708"/>
      <c r="DD367" s="1708"/>
      <c r="DE367" s="1708"/>
      <c r="DF367" s="1708"/>
      <c r="DG367" s="1708"/>
      <c r="DH367" s="1708"/>
      <c r="DI367" s="1708"/>
      <c r="DJ367" s="1708"/>
      <c r="DK367" s="1708"/>
      <c r="DL367" s="1708"/>
      <c r="DM367" s="1708"/>
      <c r="DN367" s="1708"/>
      <c r="DO367" s="1708"/>
      <c r="DP367" s="1708"/>
      <c r="DQ367" s="1708"/>
      <c r="DR367" s="1708"/>
      <c r="DS367" s="1708"/>
      <c r="DT367" s="1708"/>
      <c r="DU367" s="1708"/>
      <c r="DV367" s="1708"/>
      <c r="DW367" s="1708"/>
      <c r="DX367" s="1708"/>
      <c r="DY367" s="1708"/>
      <c r="DZ367" s="1708"/>
      <c r="EA367" s="1708"/>
      <c r="EB367" s="1708"/>
      <c r="EC367" s="1708"/>
      <c r="ED367" s="1708"/>
      <c r="EE367" s="1708"/>
      <c r="EF367" s="1708"/>
      <c r="EG367" s="1708"/>
      <c r="EH367" s="1708"/>
      <c r="EI367" s="1708"/>
      <c r="EJ367" s="1708"/>
      <c r="EK367" s="1708"/>
      <c r="EL367" s="1708"/>
      <c r="EM367" s="1708"/>
      <c r="EN367" s="1708"/>
      <c r="EO367" s="1708"/>
      <c r="EP367" s="1708"/>
      <c r="EQ367" s="1708"/>
      <c r="ER367" s="1708"/>
      <c r="ES367" s="1708"/>
      <c r="ET367" s="1708"/>
      <c r="EU367" s="1708"/>
      <c r="EV367" s="1708"/>
      <c r="EW367" s="1708"/>
      <c r="EX367" s="1708"/>
      <c r="EY367" s="1708"/>
      <c r="EZ367" s="1708"/>
      <c r="FA367" s="1708"/>
      <c r="FB367" s="1708"/>
      <c r="FC367" s="1708"/>
      <c r="FD367" s="1708"/>
      <c r="FE367" s="1708"/>
      <c r="FF367" s="1708"/>
      <c r="FG367" s="1708"/>
      <c r="FH367" s="1708"/>
      <c r="FI367" s="1708"/>
      <c r="FJ367" s="1708"/>
      <c r="FK367" s="1708"/>
      <c r="FL367" s="1708"/>
      <c r="FM367" s="1708"/>
      <c r="FN367" s="1708"/>
      <c r="FO367" s="1708"/>
      <c r="FP367" s="1708"/>
      <c r="FQ367" s="1708"/>
      <c r="FR367" s="1708"/>
      <c r="FS367" s="1708"/>
      <c r="FT367" s="1708"/>
      <c r="FU367" s="1708"/>
      <c r="FV367" s="1708"/>
      <c r="FW367" s="1708"/>
      <c r="FX367" s="1708"/>
      <c r="FY367" s="1708"/>
      <c r="FZ367" s="1708"/>
      <c r="GA367" s="1708"/>
      <c r="GB367" s="1708"/>
      <c r="GC367" s="1708"/>
      <c r="GD367" s="1708"/>
      <c r="GE367" s="1708"/>
      <c r="GF367" s="1708"/>
      <c r="GG367" s="1708"/>
      <c r="GH367" s="1708"/>
      <c r="GI367" s="1708"/>
      <c r="GJ367" s="1708"/>
      <c r="GK367" s="1708"/>
      <c r="GL367" s="1708"/>
      <c r="GM367" s="1708"/>
      <c r="GN367" s="1708"/>
      <c r="GO367" s="1708"/>
      <c r="GP367" s="1708"/>
      <c r="GQ367" s="1708"/>
      <c r="GR367" s="1708"/>
      <c r="GS367" s="1708"/>
      <c r="GT367" s="1708"/>
      <c r="GU367" s="1708"/>
      <c r="GV367" s="1708"/>
      <c r="GW367" s="1708"/>
      <c r="GX367" s="1708"/>
      <c r="GY367" s="1708"/>
      <c r="GZ367" s="1708"/>
      <c r="HA367" s="1708"/>
      <c r="HB367" s="1708"/>
      <c r="HC367" s="1708"/>
      <c r="HD367" s="1708"/>
      <c r="HE367" s="1708"/>
      <c r="HF367" s="1708"/>
      <c r="HG367" s="1708"/>
      <c r="HH367" s="1708"/>
      <c r="HI367" s="1708"/>
      <c r="HJ367" s="1708"/>
      <c r="HK367" s="1708"/>
      <c r="HL367" s="1708"/>
      <c r="HM367" s="1708"/>
      <c r="HN367" s="1708"/>
      <c r="HO367" s="1708"/>
      <c r="HP367" s="1708"/>
      <c r="HQ367" s="1708"/>
      <c r="HR367" s="1708"/>
      <c r="HS367" s="1708"/>
      <c r="HT367" s="1708"/>
      <c r="HU367" s="1708"/>
      <c r="HV367" s="1708"/>
      <c r="HW367" s="1708"/>
      <c r="HX367" s="1708"/>
      <c r="HY367" s="1708"/>
      <c r="HZ367" s="1708"/>
      <c r="IA367" s="1708"/>
      <c r="IB367" s="1708"/>
      <c r="IC367" s="1708"/>
      <c r="ID367" s="1708"/>
      <c r="IE367" s="1708"/>
      <c r="IF367" s="1708"/>
      <c r="IG367" s="1708"/>
      <c r="IH367" s="1708"/>
      <c r="II367" s="1708"/>
      <c r="IJ367" s="1708"/>
      <c r="IK367" s="1708"/>
      <c r="IL367" s="1708"/>
      <c r="IM367" s="1708"/>
      <c r="IN367" s="1708"/>
      <c r="IO367" s="1708"/>
      <c r="IP367" s="1708"/>
      <c r="IQ367" s="1708"/>
      <c r="IR367" s="1708"/>
      <c r="IS367" s="1708"/>
      <c r="IT367" s="1708"/>
      <c r="IU367" s="1708"/>
      <c r="IV367" s="1708"/>
    </row>
    <row r="368" spans="2:256" s="57" customFormat="1" x14ac:dyDescent="0.25">
      <c r="B368" s="1836"/>
      <c r="G368" s="1849"/>
      <c r="J368" s="1850"/>
      <c r="K368" s="1850"/>
      <c r="S368" s="1708"/>
      <c r="T368" s="1708"/>
      <c r="U368" s="1708"/>
      <c r="V368" s="1708"/>
      <c r="W368" s="1708"/>
      <c r="X368" s="1708"/>
      <c r="Y368" s="1708"/>
      <c r="Z368" s="1708"/>
      <c r="AA368" s="1708"/>
      <c r="AB368" s="1708"/>
      <c r="AC368" s="1708"/>
      <c r="AD368" s="1708"/>
      <c r="AE368" s="1708"/>
      <c r="AF368" s="1708"/>
      <c r="AG368" s="1708"/>
      <c r="AH368" s="1708"/>
      <c r="AI368" s="1708"/>
      <c r="AJ368" s="1708"/>
      <c r="AK368" s="1708"/>
      <c r="AL368" s="1708"/>
      <c r="AM368" s="1708"/>
      <c r="AN368" s="1708"/>
      <c r="AO368" s="1708"/>
      <c r="AP368" s="1708"/>
      <c r="AQ368" s="1708"/>
      <c r="AR368" s="1708"/>
      <c r="AS368" s="1708"/>
      <c r="AT368" s="1708"/>
      <c r="AU368" s="1708"/>
      <c r="AV368" s="1708"/>
      <c r="AW368" s="1708"/>
      <c r="AX368" s="1708"/>
      <c r="AY368" s="1708"/>
      <c r="AZ368" s="1708"/>
      <c r="BA368" s="1708"/>
      <c r="BB368" s="1708"/>
      <c r="BC368" s="1708"/>
      <c r="BD368" s="1708"/>
      <c r="BE368" s="1708"/>
      <c r="BF368" s="1708"/>
      <c r="BG368" s="1708"/>
      <c r="BH368" s="1708"/>
      <c r="BI368" s="1708"/>
      <c r="BJ368" s="1708"/>
      <c r="BK368" s="1708"/>
      <c r="BL368" s="1708"/>
      <c r="BM368" s="1708"/>
      <c r="BN368" s="1708"/>
      <c r="BO368" s="1708"/>
      <c r="BP368" s="1708"/>
      <c r="BQ368" s="1708"/>
      <c r="BR368" s="1708"/>
      <c r="BS368" s="1708"/>
      <c r="BT368" s="1708"/>
      <c r="BU368" s="1708"/>
      <c r="BV368" s="1708"/>
      <c r="BW368" s="1708"/>
      <c r="BX368" s="1708"/>
      <c r="BY368" s="1708"/>
      <c r="BZ368" s="1708"/>
      <c r="CA368" s="1708"/>
      <c r="CB368" s="1708"/>
      <c r="CC368" s="1708"/>
      <c r="CD368" s="1708"/>
      <c r="CE368" s="1708"/>
      <c r="CF368" s="1708"/>
      <c r="CG368" s="1708"/>
      <c r="CH368" s="1708"/>
      <c r="CI368" s="1708"/>
      <c r="CJ368" s="1708"/>
      <c r="CK368" s="1708"/>
      <c r="CL368" s="1708"/>
      <c r="CM368" s="1708"/>
      <c r="CN368" s="1708"/>
      <c r="CO368" s="1708"/>
      <c r="CP368" s="1708"/>
      <c r="CQ368" s="1708"/>
      <c r="CR368" s="1708"/>
      <c r="CS368" s="1708"/>
      <c r="CT368" s="1708"/>
      <c r="CU368" s="1708"/>
      <c r="CV368" s="1708"/>
      <c r="CW368" s="1708"/>
      <c r="CX368" s="1708"/>
      <c r="CY368" s="1708"/>
      <c r="CZ368" s="1708"/>
      <c r="DA368" s="1708"/>
      <c r="DB368" s="1708"/>
      <c r="DC368" s="1708"/>
      <c r="DD368" s="1708"/>
      <c r="DE368" s="1708"/>
      <c r="DF368" s="1708"/>
      <c r="DG368" s="1708"/>
      <c r="DH368" s="1708"/>
      <c r="DI368" s="1708"/>
      <c r="DJ368" s="1708"/>
      <c r="DK368" s="1708"/>
      <c r="DL368" s="1708"/>
      <c r="DM368" s="1708"/>
      <c r="DN368" s="1708"/>
      <c r="DO368" s="1708"/>
      <c r="DP368" s="1708"/>
      <c r="DQ368" s="1708"/>
      <c r="DR368" s="1708"/>
      <c r="DS368" s="1708"/>
      <c r="DT368" s="1708"/>
      <c r="DU368" s="1708"/>
      <c r="DV368" s="1708"/>
      <c r="DW368" s="1708"/>
      <c r="DX368" s="1708"/>
      <c r="DY368" s="1708"/>
      <c r="DZ368" s="1708"/>
      <c r="EA368" s="1708"/>
      <c r="EB368" s="1708"/>
      <c r="EC368" s="1708"/>
      <c r="ED368" s="1708"/>
      <c r="EE368" s="1708"/>
      <c r="EF368" s="1708"/>
      <c r="EG368" s="1708"/>
      <c r="EH368" s="1708"/>
      <c r="EI368" s="1708"/>
      <c r="EJ368" s="1708"/>
      <c r="EK368" s="1708"/>
      <c r="EL368" s="1708"/>
      <c r="EM368" s="1708"/>
      <c r="EN368" s="1708"/>
      <c r="EO368" s="1708"/>
      <c r="EP368" s="1708"/>
      <c r="EQ368" s="1708"/>
      <c r="ER368" s="1708"/>
      <c r="ES368" s="1708"/>
      <c r="ET368" s="1708"/>
      <c r="EU368" s="1708"/>
      <c r="EV368" s="1708"/>
      <c r="EW368" s="1708"/>
      <c r="EX368" s="1708"/>
      <c r="EY368" s="1708"/>
      <c r="EZ368" s="1708"/>
      <c r="FA368" s="1708"/>
      <c r="FB368" s="1708"/>
      <c r="FC368" s="1708"/>
      <c r="FD368" s="1708"/>
      <c r="FE368" s="1708"/>
      <c r="FF368" s="1708"/>
      <c r="FG368" s="1708"/>
      <c r="FH368" s="1708"/>
      <c r="FI368" s="1708"/>
      <c r="FJ368" s="1708"/>
      <c r="FK368" s="1708"/>
      <c r="FL368" s="1708"/>
      <c r="FM368" s="1708"/>
      <c r="FN368" s="1708"/>
      <c r="FO368" s="1708"/>
      <c r="FP368" s="1708"/>
      <c r="FQ368" s="1708"/>
      <c r="FR368" s="1708"/>
      <c r="FS368" s="1708"/>
      <c r="FT368" s="1708"/>
      <c r="FU368" s="1708"/>
      <c r="FV368" s="1708"/>
      <c r="FW368" s="1708"/>
      <c r="FX368" s="1708"/>
      <c r="FY368" s="1708"/>
      <c r="FZ368" s="1708"/>
      <c r="GA368" s="1708"/>
      <c r="GB368" s="1708"/>
      <c r="GC368" s="1708"/>
      <c r="GD368" s="1708"/>
      <c r="GE368" s="1708"/>
      <c r="GF368" s="1708"/>
      <c r="GG368" s="1708"/>
      <c r="GH368" s="1708"/>
      <c r="GI368" s="1708"/>
      <c r="GJ368" s="1708"/>
      <c r="GK368" s="1708"/>
      <c r="GL368" s="1708"/>
      <c r="GM368" s="1708"/>
      <c r="GN368" s="1708"/>
      <c r="GO368" s="1708"/>
      <c r="GP368" s="1708"/>
      <c r="GQ368" s="1708"/>
      <c r="GR368" s="1708"/>
      <c r="GS368" s="1708"/>
      <c r="GT368" s="1708"/>
      <c r="GU368" s="1708"/>
      <c r="GV368" s="1708"/>
      <c r="GW368" s="1708"/>
      <c r="GX368" s="1708"/>
      <c r="GY368" s="1708"/>
      <c r="GZ368" s="1708"/>
      <c r="HA368" s="1708"/>
      <c r="HB368" s="1708"/>
      <c r="HC368" s="1708"/>
      <c r="HD368" s="1708"/>
      <c r="HE368" s="1708"/>
      <c r="HF368" s="1708"/>
      <c r="HG368" s="1708"/>
      <c r="HH368" s="1708"/>
      <c r="HI368" s="1708"/>
      <c r="HJ368" s="1708"/>
      <c r="HK368" s="1708"/>
      <c r="HL368" s="1708"/>
      <c r="HM368" s="1708"/>
      <c r="HN368" s="1708"/>
      <c r="HO368" s="1708"/>
      <c r="HP368" s="1708"/>
      <c r="HQ368" s="1708"/>
      <c r="HR368" s="1708"/>
      <c r="HS368" s="1708"/>
      <c r="HT368" s="1708"/>
      <c r="HU368" s="1708"/>
      <c r="HV368" s="1708"/>
      <c r="HW368" s="1708"/>
      <c r="HX368" s="1708"/>
      <c r="HY368" s="1708"/>
      <c r="HZ368" s="1708"/>
      <c r="IA368" s="1708"/>
      <c r="IB368" s="1708"/>
      <c r="IC368" s="1708"/>
      <c r="ID368" s="1708"/>
      <c r="IE368" s="1708"/>
      <c r="IF368" s="1708"/>
      <c r="IG368" s="1708"/>
      <c r="IH368" s="1708"/>
      <c r="II368" s="1708"/>
      <c r="IJ368" s="1708"/>
      <c r="IK368" s="1708"/>
      <c r="IL368" s="1708"/>
      <c r="IM368" s="1708"/>
      <c r="IN368" s="1708"/>
      <c r="IO368" s="1708"/>
      <c r="IP368" s="1708"/>
      <c r="IQ368" s="1708"/>
      <c r="IR368" s="1708"/>
      <c r="IS368" s="1708"/>
      <c r="IT368" s="1708"/>
      <c r="IU368" s="1708"/>
      <c r="IV368" s="1708"/>
    </row>
    <row r="369" spans="2:256" s="57" customFormat="1" x14ac:dyDescent="0.25">
      <c r="B369" s="1836"/>
      <c r="G369" s="1849"/>
      <c r="J369" s="1850"/>
      <c r="K369" s="1850"/>
      <c r="S369" s="1708"/>
      <c r="T369" s="1708"/>
      <c r="U369" s="1708"/>
      <c r="V369" s="1708"/>
      <c r="W369" s="1708"/>
      <c r="X369" s="1708"/>
      <c r="Y369" s="1708"/>
      <c r="Z369" s="1708"/>
      <c r="AA369" s="1708"/>
      <c r="AB369" s="1708"/>
      <c r="AC369" s="1708"/>
      <c r="AD369" s="1708"/>
      <c r="AE369" s="1708"/>
      <c r="AF369" s="1708"/>
      <c r="AG369" s="1708"/>
      <c r="AH369" s="1708"/>
      <c r="AI369" s="1708"/>
      <c r="AJ369" s="1708"/>
      <c r="AK369" s="1708"/>
      <c r="AL369" s="1708"/>
      <c r="AM369" s="1708"/>
      <c r="AN369" s="1708"/>
      <c r="AO369" s="1708"/>
      <c r="AP369" s="1708"/>
      <c r="AQ369" s="1708"/>
      <c r="AR369" s="1708"/>
      <c r="AS369" s="1708"/>
      <c r="AT369" s="1708"/>
      <c r="AU369" s="1708"/>
      <c r="AV369" s="1708"/>
      <c r="AW369" s="1708"/>
      <c r="AX369" s="1708"/>
      <c r="AY369" s="1708"/>
      <c r="AZ369" s="1708"/>
      <c r="BA369" s="1708"/>
      <c r="BB369" s="1708"/>
      <c r="BC369" s="1708"/>
      <c r="BD369" s="1708"/>
      <c r="BE369" s="1708"/>
      <c r="BF369" s="1708"/>
      <c r="BG369" s="1708"/>
      <c r="BH369" s="1708"/>
      <c r="BI369" s="1708"/>
      <c r="BJ369" s="1708"/>
      <c r="BK369" s="1708"/>
      <c r="BL369" s="1708"/>
      <c r="BM369" s="1708"/>
      <c r="BN369" s="1708"/>
      <c r="BO369" s="1708"/>
      <c r="BP369" s="1708"/>
      <c r="BQ369" s="1708"/>
      <c r="BR369" s="1708"/>
      <c r="BS369" s="1708"/>
      <c r="BT369" s="1708"/>
      <c r="BU369" s="1708"/>
      <c r="BV369" s="1708"/>
      <c r="BW369" s="1708"/>
      <c r="BX369" s="1708"/>
      <c r="BY369" s="1708"/>
      <c r="BZ369" s="1708"/>
      <c r="CA369" s="1708"/>
      <c r="CB369" s="1708"/>
      <c r="CC369" s="1708"/>
      <c r="CD369" s="1708"/>
      <c r="CE369" s="1708"/>
      <c r="CF369" s="1708"/>
      <c r="CG369" s="1708"/>
      <c r="CH369" s="1708"/>
      <c r="CI369" s="1708"/>
      <c r="CJ369" s="1708"/>
      <c r="CK369" s="1708"/>
      <c r="CL369" s="1708"/>
      <c r="CM369" s="1708"/>
      <c r="CN369" s="1708"/>
      <c r="CO369" s="1708"/>
      <c r="CP369" s="1708"/>
      <c r="CQ369" s="1708"/>
      <c r="CR369" s="1708"/>
      <c r="CS369" s="1708"/>
      <c r="CT369" s="1708"/>
      <c r="CU369" s="1708"/>
      <c r="CV369" s="1708"/>
      <c r="CW369" s="1708"/>
      <c r="CX369" s="1708"/>
      <c r="CY369" s="1708"/>
      <c r="CZ369" s="1708"/>
      <c r="DA369" s="1708"/>
      <c r="DB369" s="1708"/>
      <c r="DC369" s="1708"/>
      <c r="DD369" s="1708"/>
      <c r="DE369" s="1708"/>
      <c r="DF369" s="1708"/>
      <c r="DG369" s="1708"/>
      <c r="DH369" s="1708"/>
      <c r="DI369" s="1708"/>
      <c r="DJ369" s="1708"/>
      <c r="DK369" s="1708"/>
      <c r="DL369" s="1708"/>
      <c r="DM369" s="1708"/>
      <c r="DN369" s="1708"/>
      <c r="DO369" s="1708"/>
      <c r="DP369" s="1708"/>
      <c r="DQ369" s="1708"/>
      <c r="DR369" s="1708"/>
      <c r="DS369" s="1708"/>
      <c r="DT369" s="1708"/>
      <c r="DU369" s="1708"/>
      <c r="DV369" s="1708"/>
      <c r="DW369" s="1708"/>
      <c r="DX369" s="1708"/>
      <c r="DY369" s="1708"/>
      <c r="DZ369" s="1708"/>
      <c r="EA369" s="1708"/>
      <c r="EB369" s="1708"/>
      <c r="EC369" s="1708"/>
      <c r="ED369" s="1708"/>
      <c r="EE369" s="1708"/>
      <c r="EF369" s="1708"/>
      <c r="EG369" s="1708"/>
      <c r="EH369" s="1708"/>
      <c r="EI369" s="1708"/>
      <c r="EJ369" s="1708"/>
      <c r="EK369" s="1708"/>
      <c r="EL369" s="1708"/>
      <c r="EM369" s="1708"/>
      <c r="EN369" s="1708"/>
      <c r="EO369" s="1708"/>
      <c r="EP369" s="1708"/>
      <c r="EQ369" s="1708"/>
      <c r="ER369" s="1708"/>
      <c r="ES369" s="1708"/>
      <c r="ET369" s="1708"/>
      <c r="EU369" s="1708"/>
      <c r="EV369" s="1708"/>
      <c r="EW369" s="1708"/>
      <c r="EX369" s="1708"/>
      <c r="EY369" s="1708"/>
      <c r="EZ369" s="1708"/>
      <c r="FA369" s="1708"/>
      <c r="FB369" s="1708"/>
      <c r="FC369" s="1708"/>
      <c r="FD369" s="1708"/>
      <c r="FE369" s="1708"/>
      <c r="FF369" s="1708"/>
      <c r="FG369" s="1708"/>
      <c r="FH369" s="1708"/>
      <c r="FI369" s="1708"/>
      <c r="FJ369" s="1708"/>
      <c r="FK369" s="1708"/>
      <c r="FL369" s="1708"/>
      <c r="FM369" s="1708"/>
      <c r="FN369" s="1708"/>
      <c r="FO369" s="1708"/>
      <c r="FP369" s="1708"/>
      <c r="FQ369" s="1708"/>
      <c r="FR369" s="1708"/>
      <c r="FS369" s="1708"/>
      <c r="FT369" s="1708"/>
      <c r="FU369" s="1708"/>
      <c r="FV369" s="1708"/>
      <c r="FW369" s="1708"/>
      <c r="FX369" s="1708"/>
      <c r="FY369" s="1708"/>
      <c r="FZ369" s="1708"/>
      <c r="GA369" s="1708"/>
      <c r="GB369" s="1708"/>
      <c r="GC369" s="1708"/>
      <c r="GD369" s="1708"/>
      <c r="GE369" s="1708"/>
      <c r="GF369" s="1708"/>
      <c r="GG369" s="1708"/>
      <c r="GH369" s="1708"/>
      <c r="GI369" s="1708"/>
      <c r="GJ369" s="1708"/>
      <c r="GK369" s="1708"/>
      <c r="GL369" s="1708"/>
      <c r="GM369" s="1708"/>
      <c r="GN369" s="1708"/>
      <c r="GO369" s="1708"/>
      <c r="GP369" s="1708"/>
      <c r="GQ369" s="1708"/>
      <c r="GR369" s="1708"/>
      <c r="GS369" s="1708"/>
      <c r="GT369" s="1708"/>
      <c r="GU369" s="1708"/>
      <c r="GV369" s="1708"/>
      <c r="GW369" s="1708"/>
      <c r="GX369" s="1708"/>
      <c r="GY369" s="1708"/>
      <c r="GZ369" s="1708"/>
      <c r="HA369" s="1708"/>
      <c r="HB369" s="1708"/>
      <c r="HC369" s="1708"/>
      <c r="HD369" s="1708"/>
      <c r="HE369" s="1708"/>
      <c r="HF369" s="1708"/>
      <c r="HG369" s="1708"/>
      <c r="HH369" s="1708"/>
      <c r="HI369" s="1708"/>
      <c r="HJ369" s="1708"/>
      <c r="HK369" s="1708"/>
      <c r="HL369" s="1708"/>
      <c r="HM369" s="1708"/>
      <c r="HN369" s="1708"/>
      <c r="HO369" s="1708"/>
      <c r="HP369" s="1708"/>
      <c r="HQ369" s="1708"/>
      <c r="HR369" s="1708"/>
      <c r="HS369" s="1708"/>
      <c r="HT369" s="1708"/>
      <c r="HU369" s="1708"/>
      <c r="HV369" s="1708"/>
      <c r="HW369" s="1708"/>
      <c r="HX369" s="1708"/>
      <c r="HY369" s="1708"/>
      <c r="HZ369" s="1708"/>
      <c r="IA369" s="1708"/>
      <c r="IB369" s="1708"/>
      <c r="IC369" s="1708"/>
      <c r="ID369" s="1708"/>
      <c r="IE369" s="1708"/>
      <c r="IF369" s="1708"/>
      <c r="IG369" s="1708"/>
      <c r="IH369" s="1708"/>
      <c r="II369" s="1708"/>
      <c r="IJ369" s="1708"/>
      <c r="IK369" s="1708"/>
      <c r="IL369" s="1708"/>
      <c r="IM369" s="1708"/>
      <c r="IN369" s="1708"/>
      <c r="IO369" s="1708"/>
      <c r="IP369" s="1708"/>
      <c r="IQ369" s="1708"/>
      <c r="IR369" s="1708"/>
      <c r="IS369" s="1708"/>
      <c r="IT369" s="1708"/>
      <c r="IU369" s="1708"/>
      <c r="IV369" s="1708"/>
    </row>
    <row r="370" spans="2:256" s="57" customFormat="1" x14ac:dyDescent="0.25">
      <c r="B370" s="1836"/>
      <c r="G370" s="1849"/>
      <c r="J370" s="1850"/>
      <c r="K370" s="1850"/>
      <c r="S370" s="1708"/>
      <c r="T370" s="1708"/>
      <c r="U370" s="1708"/>
      <c r="V370" s="1708"/>
      <c r="W370" s="1708"/>
      <c r="X370" s="1708"/>
      <c r="Y370" s="1708"/>
      <c r="Z370" s="1708"/>
      <c r="AA370" s="1708"/>
      <c r="AB370" s="1708"/>
      <c r="AC370" s="1708"/>
      <c r="AD370" s="1708"/>
      <c r="AE370" s="1708"/>
      <c r="AF370" s="1708"/>
      <c r="AG370" s="1708"/>
      <c r="AH370" s="1708"/>
      <c r="AI370" s="1708"/>
      <c r="AJ370" s="1708"/>
      <c r="AK370" s="1708"/>
      <c r="AL370" s="1708"/>
      <c r="AM370" s="1708"/>
      <c r="AN370" s="1708"/>
      <c r="AO370" s="1708"/>
      <c r="AP370" s="1708"/>
      <c r="AQ370" s="1708"/>
      <c r="AR370" s="1708"/>
      <c r="AS370" s="1708"/>
      <c r="AT370" s="1708"/>
      <c r="AU370" s="1708"/>
      <c r="AV370" s="1708"/>
      <c r="AW370" s="1708"/>
      <c r="AX370" s="1708"/>
      <c r="AY370" s="1708"/>
      <c r="AZ370" s="1708"/>
      <c r="BA370" s="1708"/>
      <c r="BB370" s="1708"/>
      <c r="BC370" s="1708"/>
      <c r="BD370" s="1708"/>
      <c r="BE370" s="1708"/>
      <c r="BF370" s="1708"/>
      <c r="BG370" s="1708"/>
      <c r="BH370" s="1708"/>
      <c r="BI370" s="1708"/>
      <c r="BJ370" s="1708"/>
      <c r="BK370" s="1708"/>
      <c r="BL370" s="1708"/>
      <c r="BM370" s="1708"/>
      <c r="BN370" s="1708"/>
      <c r="BO370" s="1708"/>
      <c r="BP370" s="1708"/>
      <c r="BQ370" s="1708"/>
      <c r="BR370" s="1708"/>
      <c r="BS370" s="1708"/>
      <c r="BT370" s="1708"/>
      <c r="BU370" s="1708"/>
      <c r="BV370" s="1708"/>
      <c r="BW370" s="1708"/>
      <c r="BX370" s="1708"/>
      <c r="BY370" s="1708"/>
      <c r="BZ370" s="1708"/>
      <c r="CA370" s="1708"/>
      <c r="CB370" s="1708"/>
      <c r="CC370" s="1708"/>
      <c r="CD370" s="1708"/>
      <c r="CE370" s="1708"/>
      <c r="CF370" s="1708"/>
      <c r="CG370" s="1708"/>
      <c r="CH370" s="1708"/>
      <c r="CI370" s="1708"/>
      <c r="CJ370" s="1708"/>
      <c r="CK370" s="1708"/>
      <c r="CL370" s="1708"/>
      <c r="CM370" s="1708"/>
      <c r="CN370" s="1708"/>
      <c r="CO370" s="1708"/>
      <c r="CP370" s="1708"/>
      <c r="CQ370" s="1708"/>
      <c r="CR370" s="1708"/>
      <c r="CS370" s="1708"/>
      <c r="CT370" s="1708"/>
      <c r="CU370" s="1708"/>
      <c r="CV370" s="1708"/>
      <c r="CW370" s="1708"/>
      <c r="CX370" s="1708"/>
      <c r="CY370" s="1708"/>
      <c r="CZ370" s="1708"/>
      <c r="DA370" s="1708"/>
      <c r="DB370" s="1708"/>
      <c r="DC370" s="1708"/>
      <c r="DD370" s="1708"/>
      <c r="DE370" s="1708"/>
      <c r="DF370" s="1708"/>
      <c r="DG370" s="1708"/>
      <c r="DH370" s="1708"/>
      <c r="DI370" s="1708"/>
      <c r="DJ370" s="1708"/>
      <c r="DK370" s="1708"/>
      <c r="DL370" s="1708"/>
      <c r="DM370" s="1708"/>
      <c r="DN370" s="1708"/>
      <c r="DO370" s="1708"/>
      <c r="DP370" s="1708"/>
      <c r="DQ370" s="1708"/>
      <c r="DR370" s="1708"/>
      <c r="DS370" s="1708"/>
      <c r="DT370" s="1708"/>
      <c r="DU370" s="1708"/>
      <c r="DV370" s="1708"/>
      <c r="DW370" s="1708"/>
      <c r="DX370" s="1708"/>
      <c r="DY370" s="1708"/>
      <c r="DZ370" s="1708"/>
      <c r="EA370" s="1708"/>
      <c r="EB370" s="1708"/>
      <c r="EC370" s="1708"/>
      <c r="ED370" s="1708"/>
      <c r="EE370" s="1708"/>
      <c r="EF370" s="1708"/>
      <c r="EG370" s="1708"/>
      <c r="EH370" s="1708"/>
      <c r="EI370" s="1708"/>
      <c r="EJ370" s="1708"/>
      <c r="EK370" s="1708"/>
      <c r="EL370" s="1708"/>
      <c r="EM370" s="1708"/>
      <c r="EN370" s="1708"/>
      <c r="EO370" s="1708"/>
      <c r="EP370" s="1708"/>
      <c r="EQ370" s="1708"/>
      <c r="ER370" s="1708"/>
      <c r="ES370" s="1708"/>
      <c r="ET370" s="1708"/>
      <c r="EU370" s="1708"/>
      <c r="EV370" s="1708"/>
      <c r="EW370" s="1708"/>
      <c r="EX370" s="1708"/>
      <c r="EY370" s="1708"/>
      <c r="EZ370" s="1708"/>
      <c r="FA370" s="1708"/>
      <c r="FB370" s="1708"/>
      <c r="FC370" s="1708"/>
      <c r="FD370" s="1708"/>
      <c r="FE370" s="1708"/>
      <c r="FF370" s="1708"/>
      <c r="FG370" s="1708"/>
      <c r="FH370" s="1708"/>
      <c r="FI370" s="1708"/>
      <c r="FJ370" s="1708"/>
      <c r="FK370" s="1708"/>
      <c r="FL370" s="1708"/>
      <c r="FM370" s="1708"/>
      <c r="FN370" s="1708"/>
      <c r="FO370" s="1708"/>
      <c r="FP370" s="1708"/>
      <c r="FQ370" s="1708"/>
      <c r="FR370" s="1708"/>
      <c r="FS370" s="1708"/>
      <c r="FT370" s="1708"/>
      <c r="FU370" s="1708"/>
      <c r="FV370" s="1708"/>
      <c r="FW370" s="1708"/>
      <c r="FX370" s="1708"/>
      <c r="FY370" s="1708"/>
      <c r="FZ370" s="1708"/>
      <c r="GA370" s="1708"/>
      <c r="GB370" s="1708"/>
      <c r="GC370" s="1708"/>
      <c r="GD370" s="1708"/>
      <c r="GE370" s="1708"/>
      <c r="GF370" s="1708"/>
      <c r="GG370" s="1708"/>
      <c r="GH370" s="1708"/>
      <c r="GI370" s="1708"/>
      <c r="GJ370" s="1708"/>
      <c r="GK370" s="1708"/>
      <c r="GL370" s="1708"/>
      <c r="GM370" s="1708"/>
      <c r="GN370" s="1708"/>
      <c r="GO370" s="1708"/>
      <c r="GP370" s="1708"/>
      <c r="GQ370" s="1708"/>
      <c r="GR370" s="1708"/>
      <c r="GS370" s="1708"/>
      <c r="GT370" s="1708"/>
      <c r="GU370" s="1708"/>
      <c r="GV370" s="1708"/>
      <c r="GW370" s="1708"/>
      <c r="GX370" s="1708"/>
      <c r="GY370" s="1708"/>
      <c r="GZ370" s="1708"/>
      <c r="HA370" s="1708"/>
      <c r="HB370" s="1708"/>
      <c r="HC370" s="1708"/>
      <c r="HD370" s="1708"/>
      <c r="HE370" s="1708"/>
      <c r="HF370" s="1708"/>
      <c r="HG370" s="1708"/>
      <c r="HH370" s="1708"/>
      <c r="HI370" s="1708"/>
      <c r="HJ370" s="1708"/>
      <c r="HK370" s="1708"/>
      <c r="HL370" s="1708"/>
      <c r="HM370" s="1708"/>
      <c r="HN370" s="1708"/>
      <c r="HO370" s="1708"/>
      <c r="HP370" s="1708"/>
      <c r="HQ370" s="1708"/>
      <c r="HR370" s="1708"/>
      <c r="HS370" s="1708"/>
      <c r="HT370" s="1708"/>
      <c r="HU370" s="1708"/>
      <c r="HV370" s="1708"/>
      <c r="HW370" s="1708"/>
      <c r="HX370" s="1708"/>
      <c r="HY370" s="1708"/>
      <c r="HZ370" s="1708"/>
      <c r="IA370" s="1708"/>
      <c r="IB370" s="1708"/>
      <c r="IC370" s="1708"/>
      <c r="ID370" s="1708"/>
      <c r="IE370" s="1708"/>
      <c r="IF370" s="1708"/>
      <c r="IG370" s="1708"/>
      <c r="IH370" s="1708"/>
      <c r="II370" s="1708"/>
      <c r="IJ370" s="1708"/>
      <c r="IK370" s="1708"/>
      <c r="IL370" s="1708"/>
      <c r="IM370" s="1708"/>
      <c r="IN370" s="1708"/>
      <c r="IO370" s="1708"/>
      <c r="IP370" s="1708"/>
      <c r="IQ370" s="1708"/>
      <c r="IR370" s="1708"/>
      <c r="IS370" s="1708"/>
      <c r="IT370" s="1708"/>
      <c r="IU370" s="1708"/>
      <c r="IV370" s="1708"/>
    </row>
    <row r="371" spans="2:256" s="57" customFormat="1" x14ac:dyDescent="0.25">
      <c r="B371" s="1836"/>
      <c r="G371" s="1849"/>
      <c r="J371" s="1850"/>
      <c r="K371" s="1850"/>
      <c r="S371" s="1708"/>
      <c r="T371" s="1708"/>
      <c r="U371" s="1708"/>
      <c r="V371" s="1708"/>
      <c r="W371" s="1708"/>
      <c r="X371" s="1708"/>
      <c r="Y371" s="1708"/>
      <c r="Z371" s="1708"/>
      <c r="AA371" s="1708"/>
      <c r="AB371" s="1708"/>
      <c r="AC371" s="1708"/>
      <c r="AD371" s="1708"/>
      <c r="AE371" s="1708"/>
      <c r="AF371" s="1708"/>
      <c r="AG371" s="1708"/>
      <c r="AH371" s="1708"/>
      <c r="AI371" s="1708"/>
      <c r="AJ371" s="1708"/>
      <c r="AK371" s="1708"/>
      <c r="AL371" s="1708"/>
      <c r="AM371" s="1708"/>
      <c r="AN371" s="1708"/>
      <c r="AO371" s="1708"/>
      <c r="AP371" s="1708"/>
      <c r="AQ371" s="1708"/>
      <c r="AR371" s="1708"/>
      <c r="AS371" s="1708"/>
      <c r="AT371" s="1708"/>
      <c r="AU371" s="1708"/>
      <c r="AV371" s="1708"/>
      <c r="AW371" s="1708"/>
      <c r="AX371" s="1708"/>
      <c r="AY371" s="1708"/>
      <c r="AZ371" s="1708"/>
      <c r="BA371" s="1708"/>
      <c r="BB371" s="1708"/>
      <c r="BC371" s="1708"/>
      <c r="BD371" s="1708"/>
      <c r="BE371" s="1708"/>
      <c r="BF371" s="1708"/>
      <c r="BG371" s="1708"/>
      <c r="BH371" s="1708"/>
      <c r="BI371" s="1708"/>
      <c r="BJ371" s="1708"/>
      <c r="BK371" s="1708"/>
      <c r="BL371" s="1708"/>
      <c r="BM371" s="1708"/>
      <c r="BN371" s="1708"/>
      <c r="BO371" s="1708"/>
      <c r="BP371" s="1708"/>
      <c r="BQ371" s="1708"/>
      <c r="BR371" s="1708"/>
      <c r="BS371" s="1708"/>
      <c r="BT371" s="1708"/>
      <c r="BU371" s="1708"/>
      <c r="BV371" s="1708"/>
      <c r="BW371" s="1708"/>
      <c r="BX371" s="1708"/>
      <c r="BY371" s="1708"/>
      <c r="BZ371" s="1708"/>
      <c r="CA371" s="1708"/>
      <c r="CB371" s="1708"/>
      <c r="CC371" s="1708"/>
      <c r="CD371" s="1708"/>
      <c r="CE371" s="1708"/>
      <c r="CF371" s="1708"/>
      <c r="CG371" s="1708"/>
      <c r="CH371" s="1708"/>
      <c r="CI371" s="1708"/>
      <c r="CJ371" s="1708"/>
      <c r="CK371" s="1708"/>
      <c r="CL371" s="1708"/>
      <c r="CM371" s="1708"/>
      <c r="CN371" s="1708"/>
      <c r="CO371" s="1708"/>
      <c r="CP371" s="1708"/>
      <c r="CQ371" s="1708"/>
      <c r="CR371" s="1708"/>
      <c r="CS371" s="1708"/>
      <c r="CT371" s="1708"/>
      <c r="CU371" s="1708"/>
      <c r="CV371" s="1708"/>
      <c r="CW371" s="1708"/>
      <c r="CX371" s="1708"/>
      <c r="CY371" s="1708"/>
      <c r="CZ371" s="1708"/>
      <c r="DA371" s="1708"/>
      <c r="DB371" s="1708"/>
      <c r="DC371" s="1708"/>
      <c r="DD371" s="1708"/>
      <c r="DE371" s="1708"/>
      <c r="DF371" s="1708"/>
      <c r="DG371" s="1708"/>
      <c r="DH371" s="1708"/>
      <c r="DI371" s="1708"/>
      <c r="DJ371" s="1708"/>
      <c r="DK371" s="1708"/>
      <c r="DL371" s="1708"/>
      <c r="DM371" s="1708"/>
      <c r="DN371" s="1708"/>
      <c r="DO371" s="1708"/>
      <c r="DP371" s="1708"/>
      <c r="DQ371" s="1708"/>
      <c r="DR371" s="1708"/>
      <c r="DS371" s="1708"/>
      <c r="DT371" s="1708"/>
      <c r="DU371" s="1708"/>
      <c r="DV371" s="1708"/>
      <c r="DW371" s="1708"/>
      <c r="DX371" s="1708"/>
      <c r="DY371" s="1708"/>
      <c r="DZ371" s="1708"/>
      <c r="EA371" s="1708"/>
      <c r="EB371" s="1708"/>
      <c r="EC371" s="1708"/>
      <c r="ED371" s="1708"/>
      <c r="EE371" s="1708"/>
      <c r="EF371" s="1708"/>
      <c r="EG371" s="1708"/>
      <c r="EH371" s="1708"/>
      <c r="EI371" s="1708"/>
      <c r="EJ371" s="1708"/>
      <c r="EK371" s="1708"/>
      <c r="EL371" s="1708"/>
      <c r="EM371" s="1708"/>
      <c r="EN371" s="1708"/>
      <c r="EO371" s="1708"/>
      <c r="EP371" s="1708"/>
      <c r="EQ371" s="1708"/>
      <c r="ER371" s="1708"/>
      <c r="ES371" s="1708"/>
      <c r="ET371" s="1708"/>
      <c r="EU371" s="1708"/>
      <c r="EV371" s="1708"/>
      <c r="EW371" s="1708"/>
      <c r="EX371" s="1708"/>
      <c r="EY371" s="1708"/>
      <c r="EZ371" s="1708"/>
      <c r="FA371" s="1708"/>
      <c r="FB371" s="1708"/>
      <c r="FC371" s="1708"/>
      <c r="FD371" s="1708"/>
      <c r="FE371" s="1708"/>
      <c r="FF371" s="1708"/>
      <c r="FG371" s="1708"/>
      <c r="FH371" s="1708"/>
      <c r="FI371" s="1708"/>
      <c r="FJ371" s="1708"/>
      <c r="FK371" s="1708"/>
      <c r="FL371" s="1708"/>
      <c r="FM371" s="1708"/>
      <c r="FN371" s="1708"/>
      <c r="FO371" s="1708"/>
      <c r="FP371" s="1708"/>
      <c r="FQ371" s="1708"/>
      <c r="FR371" s="1708"/>
      <c r="FS371" s="1708"/>
      <c r="FT371" s="1708"/>
      <c r="FU371" s="1708"/>
      <c r="FV371" s="1708"/>
      <c r="FW371" s="1708"/>
      <c r="FX371" s="1708"/>
      <c r="FY371" s="1708"/>
      <c r="FZ371" s="1708"/>
      <c r="GA371" s="1708"/>
      <c r="GB371" s="1708"/>
      <c r="GC371" s="1708"/>
      <c r="GD371" s="1708"/>
      <c r="GE371" s="1708"/>
      <c r="GF371" s="1708"/>
      <c r="GG371" s="1708"/>
      <c r="GH371" s="1708"/>
      <c r="GI371" s="1708"/>
      <c r="GJ371" s="1708"/>
      <c r="GK371" s="1708"/>
      <c r="GL371" s="1708"/>
      <c r="GM371" s="1708"/>
      <c r="GN371" s="1708"/>
      <c r="GO371" s="1708"/>
      <c r="GP371" s="1708"/>
      <c r="GQ371" s="1708"/>
      <c r="GR371" s="1708"/>
      <c r="GS371" s="1708"/>
      <c r="GT371" s="1708"/>
      <c r="GU371" s="1708"/>
      <c r="GV371" s="1708"/>
      <c r="GW371" s="1708"/>
      <c r="GX371" s="1708"/>
      <c r="GY371" s="1708"/>
      <c r="GZ371" s="1708"/>
      <c r="HA371" s="1708"/>
      <c r="HB371" s="1708"/>
      <c r="HC371" s="1708"/>
      <c r="HD371" s="1708"/>
      <c r="HE371" s="1708"/>
      <c r="HF371" s="1708"/>
      <c r="HG371" s="1708"/>
      <c r="HH371" s="1708"/>
      <c r="HI371" s="1708"/>
      <c r="HJ371" s="1708"/>
      <c r="HK371" s="1708"/>
      <c r="HL371" s="1708"/>
      <c r="HM371" s="1708"/>
      <c r="HN371" s="1708"/>
      <c r="HO371" s="1708"/>
      <c r="HP371" s="1708"/>
      <c r="HQ371" s="1708"/>
      <c r="HR371" s="1708"/>
      <c r="HS371" s="1708"/>
      <c r="HT371" s="1708"/>
      <c r="HU371" s="1708"/>
      <c r="HV371" s="1708"/>
      <c r="HW371" s="1708"/>
      <c r="HX371" s="1708"/>
      <c r="HY371" s="1708"/>
      <c r="HZ371" s="1708"/>
      <c r="IA371" s="1708"/>
      <c r="IB371" s="1708"/>
      <c r="IC371" s="1708"/>
      <c r="ID371" s="1708"/>
      <c r="IE371" s="1708"/>
      <c r="IF371" s="1708"/>
      <c r="IG371" s="1708"/>
      <c r="IH371" s="1708"/>
      <c r="II371" s="1708"/>
      <c r="IJ371" s="1708"/>
      <c r="IK371" s="1708"/>
      <c r="IL371" s="1708"/>
      <c r="IM371" s="1708"/>
      <c r="IN371" s="1708"/>
      <c r="IO371" s="1708"/>
      <c r="IP371" s="1708"/>
      <c r="IQ371" s="1708"/>
      <c r="IR371" s="1708"/>
      <c r="IS371" s="1708"/>
      <c r="IT371" s="1708"/>
      <c r="IU371" s="1708"/>
      <c r="IV371" s="1708"/>
    </row>
    <row r="372" spans="2:256" s="57" customFormat="1" x14ac:dyDescent="0.25">
      <c r="B372" s="1836"/>
      <c r="G372" s="1849"/>
      <c r="J372" s="1850"/>
      <c r="K372" s="1850"/>
      <c r="S372" s="1708"/>
      <c r="T372" s="1708"/>
      <c r="U372" s="1708"/>
      <c r="V372" s="1708"/>
      <c r="W372" s="1708"/>
      <c r="X372" s="1708"/>
      <c r="Y372" s="1708"/>
      <c r="Z372" s="1708"/>
      <c r="AA372" s="1708"/>
      <c r="AB372" s="1708"/>
      <c r="AC372" s="1708"/>
      <c r="AD372" s="1708"/>
      <c r="AE372" s="1708"/>
      <c r="AF372" s="1708"/>
      <c r="AG372" s="1708"/>
      <c r="AH372" s="1708"/>
      <c r="AI372" s="1708"/>
      <c r="AJ372" s="1708"/>
      <c r="AK372" s="1708"/>
      <c r="AL372" s="1708"/>
      <c r="AM372" s="1708"/>
      <c r="AN372" s="1708"/>
      <c r="AO372" s="1708"/>
      <c r="AP372" s="1708"/>
      <c r="AQ372" s="1708"/>
      <c r="AR372" s="1708"/>
      <c r="AS372" s="1708"/>
      <c r="AT372" s="1708"/>
      <c r="AU372" s="1708"/>
      <c r="AV372" s="1708"/>
      <c r="AW372" s="1708"/>
      <c r="AX372" s="1708"/>
      <c r="AY372" s="1708"/>
      <c r="AZ372" s="1708"/>
      <c r="BA372" s="1708"/>
      <c r="BB372" s="1708"/>
      <c r="BC372" s="1708"/>
      <c r="BD372" s="1708"/>
      <c r="BE372" s="1708"/>
      <c r="BF372" s="1708"/>
      <c r="BG372" s="1708"/>
      <c r="BH372" s="1708"/>
      <c r="BI372" s="1708"/>
      <c r="BJ372" s="1708"/>
      <c r="BK372" s="1708"/>
      <c r="BL372" s="1708"/>
      <c r="BM372" s="1708"/>
      <c r="BN372" s="1708"/>
      <c r="BO372" s="1708"/>
      <c r="BP372" s="1708"/>
      <c r="BQ372" s="1708"/>
      <c r="BR372" s="1708"/>
      <c r="BS372" s="1708"/>
      <c r="BT372" s="1708"/>
      <c r="BU372" s="1708"/>
      <c r="BV372" s="1708"/>
      <c r="BW372" s="1708"/>
      <c r="BX372" s="1708"/>
      <c r="BY372" s="1708"/>
      <c r="BZ372" s="1708"/>
      <c r="CA372" s="1708"/>
      <c r="CB372" s="1708"/>
      <c r="CC372" s="1708"/>
      <c r="CD372" s="1708"/>
      <c r="CE372" s="1708"/>
      <c r="CF372" s="1708"/>
      <c r="CG372" s="1708"/>
      <c r="CH372" s="1708"/>
      <c r="CI372" s="1708"/>
      <c r="CJ372" s="1708"/>
      <c r="CK372" s="1708"/>
      <c r="CL372" s="1708"/>
      <c r="CM372" s="1708"/>
      <c r="CN372" s="1708"/>
      <c r="CO372" s="1708"/>
      <c r="CP372" s="1708"/>
      <c r="CQ372" s="1708"/>
      <c r="CR372" s="1708"/>
      <c r="CS372" s="1708"/>
      <c r="CT372" s="1708"/>
      <c r="CU372" s="1708"/>
      <c r="CV372" s="1708"/>
      <c r="CW372" s="1708"/>
      <c r="CX372" s="1708"/>
      <c r="CY372" s="1708"/>
      <c r="CZ372" s="1708"/>
      <c r="DA372" s="1708"/>
      <c r="DB372" s="1708"/>
      <c r="DC372" s="1708"/>
      <c r="DD372" s="1708"/>
      <c r="DE372" s="1708"/>
      <c r="DF372" s="1708"/>
      <c r="DG372" s="1708"/>
      <c r="DH372" s="1708"/>
      <c r="DI372" s="1708"/>
      <c r="DJ372" s="1708"/>
      <c r="DK372" s="1708"/>
      <c r="DL372" s="1708"/>
      <c r="DM372" s="1708"/>
      <c r="DN372" s="1708"/>
      <c r="DO372" s="1708"/>
      <c r="DP372" s="1708"/>
      <c r="DQ372" s="1708"/>
      <c r="DR372" s="1708"/>
      <c r="DS372" s="1708"/>
      <c r="DT372" s="1708"/>
      <c r="DU372" s="1708"/>
      <c r="DV372" s="1708"/>
      <c r="DW372" s="1708"/>
      <c r="DX372" s="1708"/>
      <c r="DY372" s="1708"/>
      <c r="DZ372" s="1708"/>
      <c r="EA372" s="1708"/>
      <c r="EB372" s="1708"/>
      <c r="EC372" s="1708"/>
      <c r="ED372" s="1708"/>
      <c r="EE372" s="1708"/>
      <c r="EF372" s="1708"/>
      <c r="EG372" s="1708"/>
      <c r="EH372" s="1708"/>
      <c r="EI372" s="1708"/>
      <c r="EJ372" s="1708"/>
      <c r="EK372" s="1708"/>
      <c r="EL372" s="1708"/>
      <c r="EM372" s="1708"/>
      <c r="EN372" s="1708"/>
      <c r="EO372" s="1708"/>
      <c r="EP372" s="1708"/>
      <c r="EQ372" s="1708"/>
      <c r="ER372" s="1708"/>
      <c r="ES372" s="1708"/>
      <c r="ET372" s="1708"/>
      <c r="EU372" s="1708"/>
      <c r="EV372" s="1708"/>
      <c r="EW372" s="1708"/>
      <c r="EX372" s="1708"/>
      <c r="EY372" s="1708"/>
      <c r="EZ372" s="1708"/>
      <c r="FA372" s="1708"/>
      <c r="FB372" s="1708"/>
      <c r="FC372" s="1708"/>
      <c r="FD372" s="1708"/>
      <c r="FE372" s="1708"/>
      <c r="FF372" s="1708"/>
      <c r="FG372" s="1708"/>
      <c r="FH372" s="1708"/>
      <c r="FI372" s="1708"/>
      <c r="FJ372" s="1708"/>
      <c r="FK372" s="1708"/>
      <c r="FL372" s="1708"/>
      <c r="FM372" s="1708"/>
      <c r="FN372" s="1708"/>
      <c r="FO372" s="1708"/>
      <c r="FP372" s="1708"/>
      <c r="FQ372" s="1708"/>
      <c r="FR372" s="1708"/>
      <c r="FS372" s="1708"/>
      <c r="FT372" s="1708"/>
      <c r="FU372" s="1708"/>
      <c r="FV372" s="1708"/>
      <c r="FW372" s="1708"/>
      <c r="FX372" s="1708"/>
      <c r="FY372" s="1708"/>
      <c r="FZ372" s="1708"/>
      <c r="GA372" s="1708"/>
      <c r="GB372" s="1708"/>
      <c r="GC372" s="1708"/>
      <c r="GD372" s="1708"/>
      <c r="GE372" s="1708"/>
      <c r="GF372" s="1708"/>
      <c r="GG372" s="1708"/>
      <c r="GH372" s="1708"/>
      <c r="GI372" s="1708"/>
      <c r="GJ372" s="1708"/>
      <c r="GK372" s="1708"/>
      <c r="GL372" s="1708"/>
      <c r="GM372" s="1708"/>
      <c r="GN372" s="1708"/>
      <c r="GO372" s="1708"/>
      <c r="GP372" s="1708"/>
      <c r="GQ372" s="1708"/>
      <c r="GR372" s="1708"/>
      <c r="GS372" s="1708"/>
      <c r="GT372" s="1708"/>
      <c r="GU372" s="1708"/>
      <c r="GV372" s="1708"/>
      <c r="GW372" s="1708"/>
      <c r="GX372" s="1708"/>
      <c r="GY372" s="1708"/>
      <c r="GZ372" s="1708"/>
      <c r="HA372" s="1708"/>
      <c r="HB372" s="1708"/>
      <c r="HC372" s="1708"/>
      <c r="HD372" s="1708"/>
      <c r="HE372" s="1708"/>
      <c r="HF372" s="1708"/>
      <c r="HG372" s="1708"/>
      <c r="HH372" s="1708"/>
      <c r="HI372" s="1708"/>
      <c r="HJ372" s="1708"/>
      <c r="HK372" s="1708"/>
      <c r="HL372" s="1708"/>
      <c r="HM372" s="1708"/>
      <c r="HN372" s="1708"/>
      <c r="HO372" s="1708"/>
      <c r="HP372" s="1708"/>
      <c r="HQ372" s="1708"/>
      <c r="HR372" s="1708"/>
      <c r="HS372" s="1708"/>
      <c r="HT372" s="1708"/>
      <c r="HU372" s="1708"/>
      <c r="HV372" s="1708"/>
      <c r="HW372" s="1708"/>
      <c r="HX372" s="1708"/>
      <c r="HY372" s="1708"/>
      <c r="HZ372" s="1708"/>
      <c r="IA372" s="1708"/>
      <c r="IB372" s="1708"/>
      <c r="IC372" s="1708"/>
      <c r="ID372" s="1708"/>
      <c r="IE372" s="1708"/>
      <c r="IF372" s="1708"/>
      <c r="IG372" s="1708"/>
      <c r="IH372" s="1708"/>
      <c r="II372" s="1708"/>
      <c r="IJ372" s="1708"/>
      <c r="IK372" s="1708"/>
      <c r="IL372" s="1708"/>
      <c r="IM372" s="1708"/>
      <c r="IN372" s="1708"/>
      <c r="IO372" s="1708"/>
      <c r="IP372" s="1708"/>
      <c r="IQ372" s="1708"/>
      <c r="IR372" s="1708"/>
      <c r="IS372" s="1708"/>
      <c r="IT372" s="1708"/>
      <c r="IU372" s="1708"/>
      <c r="IV372" s="1708"/>
    </row>
    <row r="373" spans="2:256" s="57" customFormat="1" x14ac:dyDescent="0.25">
      <c r="B373" s="1836"/>
      <c r="G373" s="1849"/>
      <c r="J373" s="1850"/>
      <c r="K373" s="1850"/>
      <c r="S373" s="1708"/>
      <c r="T373" s="1708"/>
      <c r="U373" s="1708"/>
      <c r="V373" s="1708"/>
      <c r="W373" s="1708"/>
      <c r="X373" s="1708"/>
      <c r="Y373" s="1708"/>
      <c r="Z373" s="1708"/>
      <c r="AA373" s="1708"/>
      <c r="AB373" s="1708"/>
      <c r="AC373" s="1708"/>
      <c r="AD373" s="1708"/>
      <c r="AE373" s="1708"/>
      <c r="AF373" s="1708"/>
      <c r="AG373" s="1708"/>
      <c r="AH373" s="1708"/>
      <c r="AI373" s="1708"/>
      <c r="AJ373" s="1708"/>
      <c r="AK373" s="1708"/>
      <c r="AL373" s="1708"/>
      <c r="AM373" s="1708"/>
      <c r="AN373" s="1708"/>
      <c r="AO373" s="1708"/>
      <c r="AP373" s="1708"/>
      <c r="AQ373" s="1708"/>
      <c r="AR373" s="1708"/>
      <c r="AS373" s="1708"/>
      <c r="AT373" s="1708"/>
      <c r="AU373" s="1708"/>
      <c r="AV373" s="1708"/>
      <c r="AW373" s="1708"/>
      <c r="AX373" s="1708"/>
      <c r="AY373" s="1708"/>
      <c r="AZ373" s="1708"/>
      <c r="BA373" s="1708"/>
      <c r="BB373" s="1708"/>
      <c r="BC373" s="1708"/>
      <c r="BD373" s="1708"/>
      <c r="BE373" s="1708"/>
      <c r="BF373" s="1708"/>
      <c r="BG373" s="1708"/>
      <c r="BH373" s="1708"/>
      <c r="BI373" s="1708"/>
      <c r="BJ373" s="1708"/>
      <c r="BK373" s="1708"/>
      <c r="BL373" s="1708"/>
      <c r="BM373" s="1708"/>
      <c r="BN373" s="1708"/>
      <c r="BO373" s="1708"/>
      <c r="BP373" s="1708"/>
      <c r="BQ373" s="1708"/>
      <c r="BR373" s="1708"/>
      <c r="BS373" s="1708"/>
      <c r="BT373" s="1708"/>
      <c r="BU373" s="1708"/>
      <c r="BV373" s="1708"/>
      <c r="BW373" s="1708"/>
      <c r="BX373" s="1708"/>
      <c r="BY373" s="1708"/>
      <c r="BZ373" s="1708"/>
      <c r="CA373" s="1708"/>
      <c r="CB373" s="1708"/>
      <c r="CC373" s="1708"/>
      <c r="CD373" s="1708"/>
      <c r="CE373" s="1708"/>
      <c r="CF373" s="1708"/>
      <c r="CG373" s="1708"/>
      <c r="CH373" s="1708"/>
      <c r="CI373" s="1708"/>
      <c r="CJ373" s="1708"/>
      <c r="CK373" s="1708"/>
      <c r="CL373" s="1708"/>
      <c r="CM373" s="1708"/>
      <c r="CN373" s="1708"/>
      <c r="CO373" s="1708"/>
      <c r="CP373" s="1708"/>
      <c r="CQ373" s="1708"/>
      <c r="CR373" s="1708"/>
      <c r="CS373" s="1708"/>
      <c r="CT373" s="1708"/>
      <c r="CU373" s="1708"/>
      <c r="CV373" s="1708"/>
      <c r="CW373" s="1708"/>
      <c r="CX373" s="1708"/>
      <c r="CY373" s="1708"/>
      <c r="CZ373" s="1708"/>
      <c r="DA373" s="1708"/>
      <c r="DB373" s="1708"/>
      <c r="DC373" s="1708"/>
      <c r="DD373" s="1708"/>
      <c r="DE373" s="1708"/>
      <c r="DF373" s="1708"/>
      <c r="DG373" s="1708"/>
      <c r="DH373" s="1708"/>
      <c r="DI373" s="1708"/>
      <c r="DJ373" s="1708"/>
      <c r="DK373" s="1708"/>
      <c r="DL373" s="1708"/>
      <c r="DM373" s="1708"/>
      <c r="DN373" s="1708"/>
      <c r="DO373" s="1708"/>
      <c r="DP373" s="1708"/>
      <c r="DQ373" s="1708"/>
      <c r="DR373" s="1708"/>
      <c r="DS373" s="1708"/>
      <c r="DT373" s="1708"/>
      <c r="DU373" s="1708"/>
      <c r="DV373" s="1708"/>
      <c r="DW373" s="1708"/>
      <c r="DX373" s="1708"/>
      <c r="DY373" s="1708"/>
      <c r="DZ373" s="1708"/>
      <c r="EA373" s="1708"/>
      <c r="EB373" s="1708"/>
      <c r="EC373" s="1708"/>
      <c r="ED373" s="1708"/>
      <c r="EE373" s="1708"/>
      <c r="EF373" s="1708"/>
      <c r="EG373" s="1708"/>
      <c r="EH373" s="1708"/>
      <c r="EI373" s="1708"/>
      <c r="EJ373" s="1708"/>
      <c r="EK373" s="1708"/>
      <c r="EL373" s="1708"/>
      <c r="EM373" s="1708"/>
      <c r="EN373" s="1708"/>
      <c r="EO373" s="1708"/>
      <c r="EP373" s="1708"/>
      <c r="EQ373" s="1708"/>
      <c r="ER373" s="1708"/>
      <c r="ES373" s="1708"/>
      <c r="ET373" s="1708"/>
      <c r="EU373" s="1708"/>
      <c r="EV373" s="1708"/>
      <c r="EW373" s="1708"/>
      <c r="EX373" s="1708"/>
      <c r="EY373" s="1708"/>
      <c r="EZ373" s="1708"/>
      <c r="FA373" s="1708"/>
      <c r="FB373" s="1708"/>
      <c r="FC373" s="1708"/>
      <c r="FD373" s="1708"/>
      <c r="FE373" s="1708"/>
      <c r="FF373" s="1708"/>
      <c r="FG373" s="1708"/>
      <c r="FH373" s="1708"/>
      <c r="FI373" s="1708"/>
      <c r="FJ373" s="1708"/>
      <c r="FK373" s="1708"/>
      <c r="FL373" s="1708"/>
      <c r="FM373" s="1708"/>
      <c r="FN373" s="1708"/>
      <c r="FO373" s="1708"/>
      <c r="FP373" s="1708"/>
      <c r="FQ373" s="1708"/>
      <c r="FR373" s="1708"/>
      <c r="FS373" s="1708"/>
      <c r="FT373" s="1708"/>
      <c r="FU373" s="1708"/>
      <c r="FV373" s="1708"/>
      <c r="FW373" s="1708"/>
      <c r="FX373" s="1708"/>
      <c r="FY373" s="1708"/>
      <c r="FZ373" s="1708"/>
      <c r="GA373" s="1708"/>
      <c r="GB373" s="1708"/>
      <c r="GC373" s="1708"/>
      <c r="GD373" s="1708"/>
      <c r="GE373" s="1708"/>
      <c r="GF373" s="1708"/>
      <c r="GG373" s="1708"/>
      <c r="GH373" s="1708"/>
      <c r="GI373" s="1708"/>
      <c r="GJ373" s="1708"/>
      <c r="GK373" s="1708"/>
      <c r="GL373" s="1708"/>
      <c r="GM373" s="1708"/>
      <c r="GN373" s="1708"/>
      <c r="GO373" s="1708"/>
      <c r="GP373" s="1708"/>
      <c r="GQ373" s="1708"/>
      <c r="GR373" s="1708"/>
      <c r="GS373" s="1708"/>
      <c r="GT373" s="1708"/>
      <c r="GU373" s="1708"/>
      <c r="GV373" s="1708"/>
      <c r="GW373" s="1708"/>
      <c r="GX373" s="1708"/>
      <c r="GY373" s="1708"/>
      <c r="GZ373" s="1708"/>
      <c r="HA373" s="1708"/>
      <c r="HB373" s="1708"/>
      <c r="HC373" s="1708"/>
      <c r="HD373" s="1708"/>
      <c r="HE373" s="1708"/>
      <c r="HF373" s="1708"/>
      <c r="HG373" s="1708"/>
      <c r="HH373" s="1708"/>
      <c r="HI373" s="1708"/>
      <c r="HJ373" s="1708"/>
      <c r="HK373" s="1708"/>
      <c r="HL373" s="1708"/>
      <c r="HM373" s="1708"/>
      <c r="HN373" s="1708"/>
      <c r="HO373" s="1708"/>
      <c r="HP373" s="1708"/>
      <c r="HQ373" s="1708"/>
      <c r="HR373" s="1708"/>
      <c r="HS373" s="1708"/>
      <c r="HT373" s="1708"/>
      <c r="HU373" s="1708"/>
      <c r="HV373" s="1708"/>
      <c r="HW373" s="1708"/>
      <c r="HX373" s="1708"/>
      <c r="HY373" s="1708"/>
      <c r="HZ373" s="1708"/>
      <c r="IA373" s="1708"/>
      <c r="IB373" s="1708"/>
      <c r="IC373" s="1708"/>
      <c r="ID373" s="1708"/>
      <c r="IE373" s="1708"/>
      <c r="IF373" s="1708"/>
      <c r="IG373" s="1708"/>
      <c r="IH373" s="1708"/>
      <c r="II373" s="1708"/>
      <c r="IJ373" s="1708"/>
      <c r="IK373" s="1708"/>
      <c r="IL373" s="1708"/>
      <c r="IM373" s="1708"/>
      <c r="IN373" s="1708"/>
      <c r="IO373" s="1708"/>
      <c r="IP373" s="1708"/>
      <c r="IQ373" s="1708"/>
      <c r="IR373" s="1708"/>
      <c r="IS373" s="1708"/>
      <c r="IT373" s="1708"/>
      <c r="IU373" s="1708"/>
      <c r="IV373" s="1708"/>
    </row>
    <row r="374" spans="2:256" s="57" customFormat="1" x14ac:dyDescent="0.25">
      <c r="B374" s="1836"/>
      <c r="G374" s="1849"/>
      <c r="J374" s="1850"/>
      <c r="K374" s="1850"/>
      <c r="S374" s="1708"/>
      <c r="T374" s="1708"/>
      <c r="U374" s="1708"/>
      <c r="V374" s="1708"/>
      <c r="W374" s="1708"/>
      <c r="X374" s="1708"/>
      <c r="Y374" s="1708"/>
      <c r="Z374" s="1708"/>
      <c r="AA374" s="1708"/>
      <c r="AB374" s="1708"/>
      <c r="AC374" s="1708"/>
      <c r="AD374" s="1708"/>
      <c r="AE374" s="1708"/>
      <c r="AF374" s="1708"/>
      <c r="AG374" s="1708"/>
      <c r="AH374" s="1708"/>
      <c r="AI374" s="1708"/>
      <c r="AJ374" s="1708"/>
      <c r="AK374" s="1708"/>
      <c r="AL374" s="1708"/>
      <c r="AM374" s="1708"/>
      <c r="AN374" s="1708"/>
      <c r="AO374" s="1708"/>
      <c r="AP374" s="1708"/>
      <c r="AQ374" s="1708"/>
      <c r="AR374" s="1708"/>
      <c r="AS374" s="1708"/>
      <c r="AT374" s="1708"/>
      <c r="AU374" s="1708"/>
      <c r="AV374" s="1708"/>
      <c r="AW374" s="1708"/>
      <c r="AX374" s="1708"/>
      <c r="AY374" s="1708"/>
      <c r="AZ374" s="1708"/>
      <c r="BA374" s="1708"/>
      <c r="BB374" s="1708"/>
      <c r="BC374" s="1708"/>
      <c r="BD374" s="1708"/>
      <c r="BE374" s="1708"/>
      <c r="BF374" s="1708"/>
      <c r="BG374" s="1708"/>
      <c r="BH374" s="1708"/>
      <c r="BI374" s="1708"/>
      <c r="BJ374" s="1708"/>
      <c r="BK374" s="1708"/>
      <c r="BL374" s="1708"/>
      <c r="BM374" s="1708"/>
      <c r="BN374" s="1708"/>
      <c r="BO374" s="1708"/>
      <c r="BP374" s="1708"/>
      <c r="BQ374" s="1708"/>
      <c r="BR374" s="1708"/>
      <c r="BS374" s="1708"/>
      <c r="BT374" s="1708"/>
      <c r="BU374" s="1708"/>
      <c r="BV374" s="1708"/>
      <c r="BW374" s="1708"/>
      <c r="BX374" s="1708"/>
      <c r="BY374" s="1708"/>
      <c r="BZ374" s="1708"/>
      <c r="CA374" s="1708"/>
      <c r="CB374" s="1708"/>
      <c r="CC374" s="1708"/>
      <c r="CD374" s="1708"/>
      <c r="CE374" s="1708"/>
      <c r="CF374" s="1708"/>
      <c r="CG374" s="1708"/>
      <c r="CH374" s="1708"/>
      <c r="CI374" s="1708"/>
      <c r="CJ374" s="1708"/>
      <c r="CK374" s="1708"/>
      <c r="CL374" s="1708"/>
      <c r="CM374" s="1708"/>
      <c r="CN374" s="1708"/>
      <c r="CO374" s="1708"/>
      <c r="CP374" s="1708"/>
      <c r="CQ374" s="1708"/>
      <c r="CR374" s="1708"/>
      <c r="CS374" s="1708"/>
      <c r="CT374" s="1708"/>
      <c r="CU374" s="1708"/>
      <c r="CV374" s="1708"/>
      <c r="CW374" s="1708"/>
      <c r="CX374" s="1708"/>
      <c r="CY374" s="1708"/>
      <c r="CZ374" s="1708"/>
      <c r="DA374" s="1708"/>
      <c r="DB374" s="1708"/>
      <c r="DC374" s="1708"/>
      <c r="DD374" s="1708"/>
      <c r="DE374" s="1708"/>
      <c r="DF374" s="1708"/>
      <c r="DG374" s="1708"/>
      <c r="DH374" s="1708"/>
      <c r="DI374" s="1708"/>
      <c r="DJ374" s="1708"/>
      <c r="DK374" s="1708"/>
      <c r="DL374" s="1708"/>
      <c r="DM374" s="1708"/>
      <c r="DN374" s="1708"/>
      <c r="DO374" s="1708"/>
      <c r="DP374" s="1708"/>
      <c r="DQ374" s="1708"/>
      <c r="DR374" s="1708"/>
      <c r="DS374" s="1708"/>
      <c r="DT374" s="1708"/>
      <c r="DU374" s="1708"/>
      <c r="DV374" s="1708"/>
      <c r="DW374" s="1708"/>
      <c r="DX374" s="1708"/>
      <c r="DY374" s="1708"/>
      <c r="DZ374" s="1708"/>
      <c r="EA374" s="1708"/>
      <c r="EB374" s="1708"/>
      <c r="EC374" s="1708"/>
      <c r="ED374" s="1708"/>
      <c r="EE374" s="1708"/>
      <c r="EF374" s="1708"/>
      <c r="EG374" s="1708"/>
      <c r="EH374" s="1708"/>
      <c r="EI374" s="1708"/>
      <c r="EJ374" s="1708"/>
      <c r="EK374" s="1708"/>
      <c r="EL374" s="1708"/>
      <c r="EM374" s="1708"/>
      <c r="EN374" s="1708"/>
      <c r="EO374" s="1708"/>
      <c r="EP374" s="1708"/>
      <c r="EQ374" s="1708"/>
      <c r="ER374" s="1708"/>
      <c r="ES374" s="1708"/>
      <c r="ET374" s="1708"/>
      <c r="EU374" s="1708"/>
      <c r="EV374" s="1708"/>
      <c r="EW374" s="1708"/>
      <c r="EX374" s="1708"/>
      <c r="EY374" s="1708"/>
      <c r="EZ374" s="1708"/>
      <c r="FA374" s="1708"/>
      <c r="FB374" s="1708"/>
      <c r="FC374" s="1708"/>
      <c r="FD374" s="1708"/>
      <c r="FE374" s="1708"/>
      <c r="FF374" s="1708"/>
      <c r="FG374" s="1708"/>
      <c r="FH374" s="1708"/>
      <c r="FI374" s="1708"/>
      <c r="FJ374" s="1708"/>
      <c r="FK374" s="1708"/>
      <c r="FL374" s="1708"/>
      <c r="FM374" s="1708"/>
      <c r="FN374" s="1708"/>
      <c r="FO374" s="1708"/>
      <c r="FP374" s="1708"/>
      <c r="FQ374" s="1708"/>
      <c r="FR374" s="1708"/>
      <c r="FS374" s="1708"/>
      <c r="FT374" s="1708"/>
      <c r="FU374" s="1708"/>
      <c r="FV374" s="1708"/>
      <c r="FW374" s="1708"/>
      <c r="FX374" s="1708"/>
      <c r="FY374" s="1708"/>
      <c r="FZ374" s="1708"/>
      <c r="GA374" s="1708"/>
      <c r="GB374" s="1708"/>
      <c r="GC374" s="1708"/>
      <c r="GD374" s="1708"/>
      <c r="GE374" s="1708"/>
      <c r="GF374" s="1708"/>
      <c r="GG374" s="1708"/>
      <c r="GH374" s="1708"/>
      <c r="GI374" s="1708"/>
      <c r="GJ374" s="1708"/>
      <c r="GK374" s="1708"/>
      <c r="GL374" s="1708"/>
      <c r="GM374" s="1708"/>
      <c r="GN374" s="1708"/>
      <c r="GO374" s="1708"/>
      <c r="GP374" s="1708"/>
      <c r="GQ374" s="1708"/>
      <c r="GR374" s="1708"/>
      <c r="GS374" s="1708"/>
      <c r="GT374" s="1708"/>
      <c r="GU374" s="1708"/>
      <c r="GV374" s="1708"/>
      <c r="GW374" s="1708"/>
      <c r="GX374" s="1708"/>
      <c r="GY374" s="1708"/>
      <c r="GZ374" s="1708"/>
      <c r="HA374" s="1708"/>
      <c r="HB374" s="1708"/>
      <c r="HC374" s="1708"/>
      <c r="HD374" s="1708"/>
      <c r="HE374" s="1708"/>
      <c r="HF374" s="1708"/>
      <c r="HG374" s="1708"/>
      <c r="HH374" s="1708"/>
      <c r="HI374" s="1708"/>
      <c r="HJ374" s="1708"/>
      <c r="HK374" s="1708"/>
      <c r="HL374" s="1708"/>
      <c r="HM374" s="1708"/>
      <c r="HN374" s="1708"/>
      <c r="HO374" s="1708"/>
      <c r="HP374" s="1708"/>
      <c r="HQ374" s="1708"/>
      <c r="HR374" s="1708"/>
      <c r="HS374" s="1708"/>
      <c r="HT374" s="1708"/>
      <c r="HU374" s="1708"/>
      <c r="HV374" s="1708"/>
      <c r="HW374" s="1708"/>
      <c r="HX374" s="1708"/>
      <c r="HY374" s="1708"/>
      <c r="HZ374" s="1708"/>
      <c r="IA374" s="1708"/>
      <c r="IB374" s="1708"/>
      <c r="IC374" s="1708"/>
      <c r="ID374" s="1708"/>
      <c r="IE374" s="1708"/>
      <c r="IF374" s="1708"/>
      <c r="IG374" s="1708"/>
      <c r="IH374" s="1708"/>
      <c r="II374" s="1708"/>
      <c r="IJ374" s="1708"/>
      <c r="IK374" s="1708"/>
      <c r="IL374" s="1708"/>
      <c r="IM374" s="1708"/>
      <c r="IN374" s="1708"/>
      <c r="IO374" s="1708"/>
      <c r="IP374" s="1708"/>
      <c r="IQ374" s="1708"/>
      <c r="IR374" s="1708"/>
      <c r="IS374" s="1708"/>
      <c r="IT374" s="1708"/>
      <c r="IU374" s="1708"/>
      <c r="IV374" s="1708"/>
    </row>
    <row r="375" spans="2:256" s="57" customFormat="1" x14ac:dyDescent="0.25">
      <c r="B375" s="1836"/>
      <c r="G375" s="1849"/>
      <c r="J375" s="1850"/>
      <c r="K375" s="1850"/>
      <c r="S375" s="1708"/>
      <c r="T375" s="1708"/>
      <c r="U375" s="1708"/>
      <c r="V375" s="1708"/>
      <c r="W375" s="1708"/>
      <c r="X375" s="1708"/>
      <c r="Y375" s="1708"/>
      <c r="Z375" s="1708"/>
      <c r="AA375" s="1708"/>
      <c r="AB375" s="1708"/>
      <c r="AC375" s="1708"/>
      <c r="AD375" s="1708"/>
      <c r="AE375" s="1708"/>
      <c r="AF375" s="1708"/>
      <c r="AG375" s="1708"/>
      <c r="AH375" s="1708"/>
      <c r="AI375" s="1708"/>
      <c r="AJ375" s="1708"/>
      <c r="AK375" s="1708"/>
      <c r="AL375" s="1708"/>
      <c r="AM375" s="1708"/>
      <c r="AN375" s="1708"/>
      <c r="AO375" s="1708"/>
      <c r="AP375" s="1708"/>
      <c r="AQ375" s="1708"/>
      <c r="AR375" s="1708"/>
      <c r="AS375" s="1708"/>
      <c r="AT375" s="1708"/>
      <c r="AU375" s="1708"/>
      <c r="AV375" s="1708"/>
      <c r="AW375" s="1708"/>
      <c r="AX375" s="1708"/>
      <c r="AY375" s="1708"/>
      <c r="AZ375" s="1708"/>
      <c r="BA375" s="1708"/>
      <c r="BB375" s="1708"/>
      <c r="BC375" s="1708"/>
      <c r="BD375" s="1708"/>
      <c r="BE375" s="1708"/>
      <c r="BF375" s="1708"/>
      <c r="BG375" s="1708"/>
      <c r="BH375" s="1708"/>
      <c r="BI375" s="1708"/>
      <c r="BJ375" s="1708"/>
      <c r="BK375" s="1708"/>
      <c r="BL375" s="1708"/>
      <c r="BM375" s="1708"/>
      <c r="BN375" s="1708"/>
      <c r="BO375" s="1708"/>
      <c r="BP375" s="1708"/>
      <c r="BQ375" s="1708"/>
      <c r="BR375" s="1708"/>
      <c r="BS375" s="1708"/>
      <c r="BT375" s="1708"/>
      <c r="BU375" s="1708"/>
      <c r="BV375" s="1708"/>
      <c r="BW375" s="1708"/>
      <c r="BX375" s="1708"/>
      <c r="BY375" s="1708"/>
      <c r="BZ375" s="1708"/>
      <c r="CA375" s="1708"/>
      <c r="CB375" s="1708"/>
      <c r="CC375" s="1708"/>
      <c r="CD375" s="1708"/>
      <c r="CE375" s="1708"/>
      <c r="CF375" s="1708"/>
      <c r="CG375" s="1708"/>
      <c r="CH375" s="1708"/>
      <c r="CI375" s="1708"/>
      <c r="CJ375" s="1708"/>
      <c r="CK375" s="1708"/>
      <c r="CL375" s="1708"/>
      <c r="CM375" s="1708"/>
      <c r="CN375" s="1708"/>
      <c r="CO375" s="1708"/>
      <c r="CP375" s="1708"/>
      <c r="CQ375" s="1708"/>
      <c r="CR375" s="1708"/>
      <c r="CS375" s="1708"/>
      <c r="CT375" s="1708"/>
      <c r="CU375" s="1708"/>
      <c r="CV375" s="1708"/>
      <c r="CW375" s="1708"/>
      <c r="CX375" s="1708"/>
      <c r="CY375" s="1708"/>
      <c r="CZ375" s="1708"/>
      <c r="DA375" s="1708"/>
      <c r="DB375" s="1708"/>
      <c r="DC375" s="1708"/>
      <c r="DD375" s="1708"/>
      <c r="DE375" s="1708"/>
      <c r="DF375" s="1708"/>
      <c r="DG375" s="1708"/>
      <c r="DH375" s="1708"/>
      <c r="DI375" s="1708"/>
      <c r="DJ375" s="1708"/>
      <c r="DK375" s="1708"/>
      <c r="DL375" s="1708"/>
      <c r="DM375" s="1708"/>
      <c r="DN375" s="1708"/>
      <c r="DO375" s="1708"/>
      <c r="DP375" s="1708"/>
      <c r="DQ375" s="1708"/>
      <c r="DR375" s="1708"/>
      <c r="DS375" s="1708"/>
      <c r="DT375" s="1708"/>
      <c r="DU375" s="1708"/>
      <c r="DV375" s="1708"/>
      <c r="DW375" s="1708"/>
      <c r="DX375" s="1708"/>
      <c r="DY375" s="1708"/>
      <c r="DZ375" s="1708"/>
      <c r="EA375" s="1708"/>
      <c r="EB375" s="1708"/>
      <c r="EC375" s="1708"/>
      <c r="ED375" s="1708"/>
      <c r="EE375" s="1708"/>
      <c r="EF375" s="1708"/>
      <c r="EG375" s="1708"/>
      <c r="EH375" s="1708"/>
      <c r="EI375" s="1708"/>
      <c r="EJ375" s="1708"/>
      <c r="EK375" s="1708"/>
      <c r="EL375" s="1708"/>
      <c r="EM375" s="1708"/>
      <c r="EN375" s="1708"/>
      <c r="EO375" s="1708"/>
      <c r="EP375" s="1708"/>
      <c r="EQ375" s="1708"/>
      <c r="ER375" s="1708"/>
      <c r="ES375" s="1708"/>
      <c r="ET375" s="1708"/>
      <c r="EU375" s="1708"/>
      <c r="EV375" s="1708"/>
      <c r="EW375" s="1708"/>
      <c r="EX375" s="1708"/>
      <c r="EY375" s="1708"/>
      <c r="EZ375" s="1708"/>
      <c r="FA375" s="1708"/>
      <c r="FB375" s="1708"/>
      <c r="FC375" s="1708"/>
      <c r="FD375" s="1708"/>
      <c r="FE375" s="1708"/>
      <c r="FF375" s="1708"/>
      <c r="FG375" s="1708"/>
      <c r="FH375" s="1708"/>
      <c r="FI375" s="1708"/>
      <c r="FJ375" s="1708"/>
      <c r="FK375" s="1708"/>
      <c r="FL375" s="1708"/>
      <c r="FM375" s="1708"/>
      <c r="FN375" s="1708"/>
      <c r="FO375" s="1708"/>
      <c r="FP375" s="1708"/>
      <c r="FQ375" s="1708"/>
      <c r="FR375" s="1708"/>
      <c r="FS375" s="1708"/>
      <c r="FT375" s="1708"/>
      <c r="FU375" s="1708"/>
      <c r="FV375" s="1708"/>
      <c r="FW375" s="1708"/>
      <c r="FX375" s="1708"/>
      <c r="FY375" s="1708"/>
      <c r="FZ375" s="1708"/>
      <c r="GA375" s="1708"/>
      <c r="GB375" s="1708"/>
      <c r="GC375" s="1708"/>
      <c r="GD375" s="1708"/>
      <c r="GE375" s="1708"/>
      <c r="GF375" s="1708"/>
      <c r="GG375" s="1708"/>
      <c r="GH375" s="1708"/>
      <c r="GI375" s="1708"/>
      <c r="GJ375" s="1708"/>
      <c r="GK375" s="1708"/>
      <c r="GL375" s="1708"/>
      <c r="GM375" s="1708"/>
      <c r="GN375" s="1708"/>
      <c r="GO375" s="1708"/>
      <c r="GP375" s="1708"/>
      <c r="GQ375" s="1708"/>
      <c r="GR375" s="1708"/>
      <c r="GS375" s="1708"/>
      <c r="GT375" s="1708"/>
      <c r="GU375" s="1708"/>
      <c r="GV375" s="1708"/>
      <c r="GW375" s="1708"/>
      <c r="GX375" s="1708"/>
      <c r="GY375" s="1708"/>
      <c r="GZ375" s="1708"/>
      <c r="HA375" s="1708"/>
      <c r="HB375" s="1708"/>
      <c r="HC375" s="1708"/>
      <c r="HD375" s="1708"/>
      <c r="HE375" s="1708"/>
      <c r="HF375" s="1708"/>
      <c r="HG375" s="1708"/>
      <c r="HH375" s="1708"/>
      <c r="HI375" s="1708"/>
      <c r="HJ375" s="1708"/>
      <c r="HK375" s="1708"/>
      <c r="HL375" s="1708"/>
      <c r="HM375" s="1708"/>
      <c r="HN375" s="1708"/>
      <c r="HO375" s="1708"/>
      <c r="HP375" s="1708"/>
      <c r="HQ375" s="1708"/>
      <c r="HR375" s="1708"/>
      <c r="HS375" s="1708"/>
      <c r="HT375" s="1708"/>
      <c r="HU375" s="1708"/>
      <c r="HV375" s="1708"/>
      <c r="HW375" s="1708"/>
      <c r="HX375" s="1708"/>
      <c r="HY375" s="1708"/>
      <c r="HZ375" s="1708"/>
      <c r="IA375" s="1708"/>
      <c r="IB375" s="1708"/>
      <c r="IC375" s="1708"/>
      <c r="ID375" s="1708"/>
      <c r="IE375" s="1708"/>
      <c r="IF375" s="1708"/>
      <c r="IG375" s="1708"/>
      <c r="IH375" s="1708"/>
      <c r="II375" s="1708"/>
      <c r="IJ375" s="1708"/>
      <c r="IK375" s="1708"/>
      <c r="IL375" s="1708"/>
      <c r="IM375" s="1708"/>
      <c r="IN375" s="1708"/>
      <c r="IO375" s="1708"/>
      <c r="IP375" s="1708"/>
      <c r="IQ375" s="1708"/>
      <c r="IR375" s="1708"/>
      <c r="IS375" s="1708"/>
      <c r="IT375" s="1708"/>
      <c r="IU375" s="1708"/>
      <c r="IV375" s="1708"/>
    </row>
    <row r="376" spans="2:256" s="57" customFormat="1" x14ac:dyDescent="0.25">
      <c r="B376" s="1836"/>
      <c r="G376" s="1849"/>
      <c r="J376" s="1850"/>
      <c r="K376" s="1850"/>
      <c r="S376" s="1708"/>
      <c r="T376" s="1708"/>
      <c r="U376" s="1708"/>
      <c r="V376" s="1708"/>
      <c r="W376" s="1708"/>
      <c r="X376" s="1708"/>
      <c r="Y376" s="1708"/>
      <c r="Z376" s="1708"/>
      <c r="AA376" s="1708"/>
      <c r="AB376" s="1708"/>
      <c r="AC376" s="1708"/>
      <c r="AD376" s="1708"/>
      <c r="AE376" s="1708"/>
      <c r="AF376" s="1708"/>
      <c r="AG376" s="1708"/>
      <c r="AH376" s="1708"/>
      <c r="AI376" s="1708"/>
      <c r="AJ376" s="1708"/>
      <c r="AK376" s="1708"/>
      <c r="AL376" s="1708"/>
      <c r="AM376" s="1708"/>
      <c r="AN376" s="1708"/>
      <c r="AO376" s="1708"/>
      <c r="AP376" s="1708"/>
      <c r="AQ376" s="1708"/>
      <c r="AR376" s="1708"/>
      <c r="AS376" s="1708"/>
      <c r="AT376" s="1708"/>
      <c r="AU376" s="1708"/>
      <c r="AV376" s="1708"/>
      <c r="AW376" s="1708"/>
      <c r="AX376" s="1708"/>
      <c r="AY376" s="1708"/>
      <c r="AZ376" s="1708"/>
      <c r="BA376" s="1708"/>
      <c r="BB376" s="1708"/>
      <c r="BC376" s="1708"/>
      <c r="BD376" s="1708"/>
      <c r="BE376" s="1708"/>
      <c r="BF376" s="1708"/>
      <c r="BG376" s="1708"/>
      <c r="BH376" s="1708"/>
      <c r="BI376" s="1708"/>
      <c r="BJ376" s="1708"/>
      <c r="BK376" s="1708"/>
      <c r="BL376" s="1708"/>
      <c r="BM376" s="1708"/>
      <c r="BN376" s="1708"/>
      <c r="BO376" s="1708"/>
      <c r="BP376" s="1708"/>
      <c r="BQ376" s="1708"/>
      <c r="BR376" s="1708"/>
      <c r="BS376" s="1708"/>
      <c r="BT376" s="1708"/>
      <c r="BU376" s="1708"/>
      <c r="BV376" s="1708"/>
      <c r="BW376" s="1708"/>
      <c r="BX376" s="1708"/>
      <c r="BY376" s="1708"/>
      <c r="BZ376" s="1708"/>
      <c r="CA376" s="1708"/>
      <c r="CB376" s="1708"/>
      <c r="CC376" s="1708"/>
      <c r="CD376" s="1708"/>
      <c r="CE376" s="1708"/>
      <c r="CF376" s="1708"/>
      <c r="CG376" s="1708"/>
      <c r="CH376" s="1708"/>
      <c r="CI376" s="1708"/>
      <c r="CJ376" s="1708"/>
      <c r="CK376" s="1708"/>
      <c r="CL376" s="1708"/>
      <c r="CM376" s="1708"/>
      <c r="CN376" s="1708"/>
      <c r="CO376" s="1708"/>
      <c r="CP376" s="1708"/>
      <c r="CQ376" s="1708"/>
      <c r="CR376" s="1708"/>
      <c r="CS376" s="1708"/>
      <c r="CT376" s="1708"/>
      <c r="CU376" s="1708"/>
      <c r="CV376" s="1708"/>
      <c r="CW376" s="1708"/>
      <c r="CX376" s="1708"/>
      <c r="CY376" s="1708"/>
      <c r="CZ376" s="1708"/>
      <c r="DA376" s="1708"/>
      <c r="DB376" s="1708"/>
      <c r="DC376" s="1708"/>
      <c r="DD376" s="1708"/>
      <c r="DE376" s="1708"/>
      <c r="DF376" s="1708"/>
      <c r="DG376" s="1708"/>
      <c r="DH376" s="1708"/>
      <c r="DI376" s="1708"/>
      <c r="DJ376" s="1708"/>
      <c r="DK376" s="1708"/>
      <c r="DL376" s="1708"/>
      <c r="DM376" s="1708"/>
      <c r="DN376" s="1708"/>
      <c r="DO376" s="1708"/>
      <c r="DP376" s="1708"/>
      <c r="DQ376" s="1708"/>
      <c r="DR376" s="1708"/>
      <c r="DS376" s="1708"/>
      <c r="DT376" s="1708"/>
      <c r="DU376" s="1708"/>
      <c r="DV376" s="1708"/>
      <c r="DW376" s="1708"/>
      <c r="DX376" s="1708"/>
      <c r="DY376" s="1708"/>
      <c r="DZ376" s="1708"/>
      <c r="EA376" s="1708"/>
      <c r="EB376" s="1708"/>
      <c r="EC376" s="1708"/>
      <c r="ED376" s="1708"/>
      <c r="EE376" s="1708"/>
      <c r="EF376" s="1708"/>
      <c r="EG376" s="1708"/>
      <c r="EH376" s="1708"/>
      <c r="EI376" s="1708"/>
      <c r="EJ376" s="1708"/>
      <c r="EK376" s="1708"/>
      <c r="EL376" s="1708"/>
      <c r="EM376" s="1708"/>
      <c r="EN376" s="1708"/>
      <c r="EO376" s="1708"/>
      <c r="EP376" s="1708"/>
      <c r="EQ376" s="1708"/>
      <c r="ER376" s="1708"/>
      <c r="ES376" s="1708"/>
      <c r="ET376" s="1708"/>
      <c r="EU376" s="1708"/>
      <c r="EV376" s="1708"/>
      <c r="EW376" s="1708"/>
      <c r="EX376" s="1708"/>
      <c r="EY376" s="1708"/>
      <c r="EZ376" s="1708"/>
      <c r="FA376" s="1708"/>
      <c r="FB376" s="1708"/>
      <c r="FC376" s="1708"/>
      <c r="FD376" s="1708"/>
      <c r="FE376" s="1708"/>
      <c r="FF376" s="1708"/>
      <c r="FG376" s="1708"/>
      <c r="FH376" s="1708"/>
      <c r="FI376" s="1708"/>
      <c r="FJ376" s="1708"/>
      <c r="FK376" s="1708"/>
      <c r="FL376" s="1708"/>
      <c r="FM376" s="1708"/>
      <c r="FN376" s="1708"/>
      <c r="FO376" s="1708"/>
      <c r="FP376" s="1708"/>
      <c r="FQ376" s="1708"/>
      <c r="FR376" s="1708"/>
      <c r="FS376" s="1708"/>
      <c r="FT376" s="1708"/>
      <c r="FU376" s="1708"/>
      <c r="FV376" s="1708"/>
      <c r="FW376" s="1708"/>
      <c r="FX376" s="1708"/>
      <c r="FY376" s="1708"/>
      <c r="FZ376" s="1708"/>
      <c r="GA376" s="1708"/>
      <c r="GB376" s="1708"/>
      <c r="GC376" s="1708"/>
      <c r="GD376" s="1708"/>
      <c r="GE376" s="1708"/>
      <c r="GF376" s="1708"/>
      <c r="GG376" s="1708"/>
      <c r="GH376" s="1708"/>
      <c r="GI376" s="1708"/>
      <c r="GJ376" s="1708"/>
      <c r="GK376" s="1708"/>
      <c r="GL376" s="1708"/>
      <c r="GM376" s="1708"/>
      <c r="GN376" s="1708"/>
      <c r="GO376" s="1708"/>
      <c r="GP376" s="1708"/>
      <c r="GQ376" s="1708"/>
      <c r="GR376" s="1708"/>
      <c r="GS376" s="1708"/>
      <c r="GT376" s="1708"/>
      <c r="GU376" s="1708"/>
      <c r="GV376" s="1708"/>
      <c r="GW376" s="1708"/>
      <c r="GX376" s="1708"/>
      <c r="GY376" s="1708"/>
      <c r="GZ376" s="1708"/>
      <c r="HA376" s="1708"/>
      <c r="HB376" s="1708"/>
      <c r="HC376" s="1708"/>
      <c r="HD376" s="1708"/>
      <c r="HE376" s="1708"/>
      <c r="HF376" s="1708"/>
      <c r="HG376" s="1708"/>
      <c r="HH376" s="1708"/>
      <c r="HI376" s="1708"/>
      <c r="HJ376" s="1708"/>
      <c r="HK376" s="1708"/>
      <c r="HL376" s="1708"/>
      <c r="HM376" s="1708"/>
      <c r="HN376" s="1708"/>
      <c r="HO376" s="1708"/>
      <c r="HP376" s="1708"/>
      <c r="HQ376" s="1708"/>
      <c r="HR376" s="1708"/>
      <c r="HS376" s="1708"/>
      <c r="HT376" s="1708"/>
      <c r="HU376" s="1708"/>
      <c r="HV376" s="1708"/>
      <c r="HW376" s="1708"/>
      <c r="HX376" s="1708"/>
      <c r="HY376" s="1708"/>
      <c r="HZ376" s="1708"/>
      <c r="IA376" s="1708"/>
      <c r="IB376" s="1708"/>
      <c r="IC376" s="1708"/>
      <c r="ID376" s="1708"/>
      <c r="IE376" s="1708"/>
      <c r="IF376" s="1708"/>
      <c r="IG376" s="1708"/>
      <c r="IH376" s="1708"/>
      <c r="II376" s="1708"/>
      <c r="IJ376" s="1708"/>
      <c r="IK376" s="1708"/>
      <c r="IL376" s="1708"/>
      <c r="IM376" s="1708"/>
      <c r="IN376" s="1708"/>
      <c r="IO376" s="1708"/>
      <c r="IP376" s="1708"/>
      <c r="IQ376" s="1708"/>
      <c r="IR376" s="1708"/>
      <c r="IS376" s="1708"/>
      <c r="IT376" s="1708"/>
      <c r="IU376" s="1708"/>
      <c r="IV376" s="1708"/>
    </row>
    <row r="377" spans="2:256" s="57" customFormat="1" x14ac:dyDescent="0.25">
      <c r="B377" s="1836"/>
      <c r="G377" s="1849"/>
      <c r="J377" s="1850"/>
      <c r="K377" s="1850"/>
      <c r="S377" s="1708"/>
      <c r="T377" s="1708"/>
      <c r="U377" s="1708"/>
      <c r="V377" s="1708"/>
      <c r="W377" s="1708"/>
      <c r="X377" s="1708"/>
      <c r="Y377" s="1708"/>
      <c r="Z377" s="1708"/>
      <c r="AA377" s="1708"/>
      <c r="AB377" s="1708"/>
      <c r="AC377" s="1708"/>
      <c r="AD377" s="1708"/>
      <c r="AE377" s="1708"/>
      <c r="AF377" s="1708"/>
      <c r="AG377" s="1708"/>
      <c r="AH377" s="1708"/>
      <c r="AI377" s="1708"/>
      <c r="AJ377" s="1708"/>
      <c r="AK377" s="1708"/>
      <c r="AL377" s="1708"/>
      <c r="AM377" s="1708"/>
      <c r="AN377" s="1708"/>
      <c r="AO377" s="1708"/>
      <c r="AP377" s="1708"/>
      <c r="AQ377" s="1708"/>
      <c r="AR377" s="1708"/>
      <c r="AS377" s="1708"/>
      <c r="AT377" s="1708"/>
      <c r="AU377" s="1708"/>
      <c r="AV377" s="1708"/>
      <c r="AW377" s="1708"/>
      <c r="AX377" s="1708"/>
      <c r="AY377" s="1708"/>
      <c r="AZ377" s="1708"/>
      <c r="BA377" s="1708"/>
      <c r="BB377" s="1708"/>
      <c r="BC377" s="1708"/>
      <c r="BD377" s="1708"/>
      <c r="BE377" s="1708"/>
      <c r="BF377" s="1708"/>
      <c r="BG377" s="1708"/>
      <c r="BH377" s="1708"/>
      <c r="BI377" s="1708"/>
      <c r="BJ377" s="1708"/>
      <c r="BK377" s="1708"/>
      <c r="BL377" s="1708"/>
      <c r="BM377" s="1708"/>
      <c r="BN377" s="1708"/>
      <c r="BO377" s="1708"/>
      <c r="BP377" s="1708"/>
      <c r="BQ377" s="1708"/>
      <c r="BR377" s="1708"/>
      <c r="BS377" s="1708"/>
      <c r="BT377" s="1708"/>
      <c r="BU377" s="1708"/>
      <c r="BV377" s="1708"/>
      <c r="BW377" s="1708"/>
      <c r="BX377" s="1708"/>
      <c r="BY377" s="1708"/>
      <c r="BZ377" s="1708"/>
      <c r="CA377" s="1708"/>
      <c r="CB377" s="1708"/>
      <c r="CC377" s="1708"/>
      <c r="CD377" s="1708"/>
      <c r="CE377" s="1708"/>
      <c r="CF377" s="1708"/>
      <c r="CG377" s="1708"/>
      <c r="CH377" s="1708"/>
      <c r="CI377" s="1708"/>
      <c r="CJ377" s="1708"/>
      <c r="CK377" s="1708"/>
      <c r="CL377" s="1708"/>
      <c r="CM377" s="1708"/>
      <c r="CN377" s="1708"/>
      <c r="CO377" s="1708"/>
      <c r="CP377" s="1708"/>
      <c r="CQ377" s="1708"/>
      <c r="CR377" s="1708"/>
      <c r="CS377" s="1708"/>
      <c r="CT377" s="1708"/>
      <c r="CU377" s="1708"/>
      <c r="CV377" s="1708"/>
      <c r="CW377" s="1708"/>
      <c r="CX377" s="1708"/>
      <c r="CY377" s="1708"/>
      <c r="CZ377" s="1708"/>
      <c r="DA377" s="1708"/>
      <c r="DB377" s="1708"/>
      <c r="DC377" s="1708"/>
      <c r="DD377" s="1708"/>
      <c r="DE377" s="1708"/>
      <c r="DF377" s="1708"/>
      <c r="DG377" s="1708"/>
      <c r="DH377" s="1708"/>
      <c r="DI377" s="1708"/>
      <c r="DJ377" s="1708"/>
      <c r="DK377" s="1708"/>
      <c r="DL377" s="1708"/>
      <c r="DM377" s="1708"/>
      <c r="DN377" s="1708"/>
      <c r="DO377" s="1708"/>
      <c r="DP377" s="1708"/>
      <c r="DQ377" s="1708"/>
      <c r="DR377" s="1708"/>
      <c r="DS377" s="1708"/>
      <c r="DT377" s="1708"/>
      <c r="DU377" s="1708"/>
      <c r="DV377" s="1708"/>
      <c r="DW377" s="1708"/>
      <c r="DX377" s="1708"/>
      <c r="DY377" s="1708"/>
      <c r="DZ377" s="1708"/>
      <c r="EA377" s="1708"/>
      <c r="EB377" s="1708"/>
      <c r="EC377" s="1708"/>
      <c r="ED377" s="1708"/>
      <c r="EE377" s="1708"/>
      <c r="EF377" s="1708"/>
      <c r="EG377" s="1708"/>
      <c r="EH377" s="1708"/>
      <c r="EI377" s="1708"/>
      <c r="EJ377" s="1708"/>
      <c r="EK377" s="1708"/>
      <c r="EL377" s="1708"/>
      <c r="EM377" s="1708"/>
      <c r="EN377" s="1708"/>
      <c r="EO377" s="1708"/>
      <c r="EP377" s="1708"/>
      <c r="EQ377" s="1708"/>
      <c r="ER377" s="1708"/>
      <c r="ES377" s="1708"/>
      <c r="ET377" s="1708"/>
      <c r="EU377" s="1708"/>
      <c r="EV377" s="1708"/>
      <c r="EW377" s="1708"/>
      <c r="EX377" s="1708"/>
      <c r="EY377" s="1708"/>
      <c r="EZ377" s="1708"/>
      <c r="FA377" s="1708"/>
      <c r="FB377" s="1708"/>
      <c r="FC377" s="1708"/>
      <c r="FD377" s="1708"/>
      <c r="FE377" s="1708"/>
      <c r="FF377" s="1708"/>
      <c r="FG377" s="1708"/>
      <c r="FH377" s="1708"/>
      <c r="FI377" s="1708"/>
      <c r="FJ377" s="1708"/>
      <c r="FK377" s="1708"/>
      <c r="FL377" s="1708"/>
      <c r="FM377" s="1708"/>
      <c r="FN377" s="1708"/>
      <c r="FO377" s="1708"/>
      <c r="FP377" s="1708"/>
      <c r="FQ377" s="1708"/>
      <c r="FR377" s="1708"/>
      <c r="FS377" s="1708"/>
      <c r="FT377" s="1708"/>
      <c r="FU377" s="1708"/>
      <c r="FV377" s="1708"/>
      <c r="FW377" s="1708"/>
      <c r="FX377" s="1708"/>
      <c r="FY377" s="1708"/>
      <c r="FZ377" s="1708"/>
      <c r="GA377" s="1708"/>
      <c r="GB377" s="1708"/>
      <c r="GC377" s="1708"/>
      <c r="GD377" s="1708"/>
      <c r="GE377" s="1708"/>
      <c r="GF377" s="1708"/>
      <c r="GG377" s="1708"/>
      <c r="GH377" s="1708"/>
      <c r="GI377" s="1708"/>
      <c r="GJ377" s="1708"/>
      <c r="GK377" s="1708"/>
      <c r="GL377" s="1708"/>
      <c r="GM377" s="1708"/>
      <c r="GN377" s="1708"/>
      <c r="GO377" s="1708"/>
      <c r="GP377" s="1708"/>
      <c r="GQ377" s="1708"/>
      <c r="GR377" s="1708"/>
      <c r="GS377" s="1708"/>
      <c r="GT377" s="1708"/>
      <c r="GU377" s="1708"/>
      <c r="GV377" s="1708"/>
      <c r="GW377" s="1708"/>
      <c r="GX377" s="1708"/>
      <c r="GY377" s="1708"/>
      <c r="GZ377" s="1708"/>
      <c r="HA377" s="1708"/>
      <c r="HB377" s="1708"/>
      <c r="HC377" s="1708"/>
      <c r="HD377" s="1708"/>
      <c r="HE377" s="1708"/>
      <c r="HF377" s="1708"/>
      <c r="HG377" s="1708"/>
      <c r="HH377" s="1708"/>
      <c r="HI377" s="1708"/>
      <c r="HJ377" s="1708"/>
      <c r="HK377" s="1708"/>
      <c r="HL377" s="1708"/>
      <c r="HM377" s="1708"/>
      <c r="HN377" s="1708"/>
      <c r="HO377" s="1708"/>
      <c r="HP377" s="1708"/>
      <c r="HQ377" s="1708"/>
      <c r="HR377" s="1708"/>
      <c r="HS377" s="1708"/>
      <c r="HT377" s="1708"/>
      <c r="HU377" s="1708"/>
      <c r="HV377" s="1708"/>
      <c r="HW377" s="1708"/>
      <c r="HX377" s="1708"/>
      <c r="HY377" s="1708"/>
      <c r="HZ377" s="1708"/>
      <c r="IA377" s="1708"/>
      <c r="IB377" s="1708"/>
      <c r="IC377" s="1708"/>
      <c r="ID377" s="1708"/>
      <c r="IE377" s="1708"/>
      <c r="IF377" s="1708"/>
      <c r="IG377" s="1708"/>
      <c r="IH377" s="1708"/>
      <c r="II377" s="1708"/>
      <c r="IJ377" s="1708"/>
      <c r="IK377" s="1708"/>
      <c r="IL377" s="1708"/>
      <c r="IM377" s="1708"/>
      <c r="IN377" s="1708"/>
      <c r="IO377" s="1708"/>
      <c r="IP377" s="1708"/>
      <c r="IQ377" s="1708"/>
      <c r="IR377" s="1708"/>
      <c r="IS377" s="1708"/>
      <c r="IT377" s="1708"/>
      <c r="IU377" s="1708"/>
      <c r="IV377" s="1708"/>
    </row>
    <row r="378" spans="2:256" s="57" customFormat="1" x14ac:dyDescent="0.25">
      <c r="B378" s="1836"/>
      <c r="G378" s="1849"/>
      <c r="J378" s="1850"/>
      <c r="K378" s="1850"/>
      <c r="S378" s="1708"/>
      <c r="T378" s="1708"/>
      <c r="U378" s="1708"/>
      <c r="V378" s="1708"/>
      <c r="W378" s="1708"/>
      <c r="X378" s="1708"/>
      <c r="Y378" s="1708"/>
      <c r="Z378" s="1708"/>
      <c r="AA378" s="1708"/>
      <c r="AB378" s="1708"/>
      <c r="AC378" s="1708"/>
      <c r="AD378" s="1708"/>
      <c r="AE378" s="1708"/>
      <c r="AF378" s="1708"/>
      <c r="AG378" s="1708"/>
      <c r="AH378" s="1708"/>
      <c r="AI378" s="1708"/>
      <c r="AJ378" s="1708"/>
      <c r="AK378" s="1708"/>
      <c r="AL378" s="1708"/>
      <c r="AM378" s="1708"/>
      <c r="AN378" s="1708"/>
      <c r="AO378" s="1708"/>
      <c r="AP378" s="1708"/>
      <c r="AQ378" s="1708"/>
      <c r="AR378" s="1708"/>
      <c r="AS378" s="1708"/>
      <c r="AT378" s="1708"/>
      <c r="AU378" s="1708"/>
      <c r="AV378" s="1708"/>
      <c r="AW378" s="1708"/>
      <c r="AX378" s="1708"/>
      <c r="AY378" s="1708"/>
      <c r="AZ378" s="1708"/>
      <c r="BA378" s="1708"/>
      <c r="BB378" s="1708"/>
      <c r="BC378" s="1708"/>
      <c r="BD378" s="1708"/>
      <c r="BE378" s="1708"/>
      <c r="BF378" s="1708"/>
      <c r="BG378" s="1708"/>
      <c r="BH378" s="1708"/>
      <c r="BI378" s="1708"/>
      <c r="BJ378" s="1708"/>
      <c r="BK378" s="1708"/>
      <c r="BL378" s="1708"/>
      <c r="BM378" s="1708"/>
      <c r="BN378" s="1708"/>
      <c r="BO378" s="1708"/>
      <c r="BP378" s="1708"/>
      <c r="BQ378" s="1708"/>
      <c r="BR378" s="1708"/>
      <c r="BS378" s="1708"/>
      <c r="BT378" s="1708"/>
      <c r="BU378" s="1708"/>
      <c r="BV378" s="1708"/>
      <c r="BW378" s="1708"/>
      <c r="BX378" s="1708"/>
      <c r="BY378" s="1708"/>
      <c r="BZ378" s="1708"/>
      <c r="CA378" s="1708"/>
      <c r="CB378" s="1708"/>
      <c r="CC378" s="1708"/>
      <c r="CD378" s="1708"/>
      <c r="CE378" s="1708"/>
      <c r="CF378" s="1708"/>
      <c r="CG378" s="1708"/>
      <c r="CH378" s="1708"/>
      <c r="CI378" s="1708"/>
      <c r="CJ378" s="1708"/>
      <c r="CK378" s="1708"/>
      <c r="CL378" s="1708"/>
      <c r="CM378" s="1708"/>
      <c r="CN378" s="1708"/>
      <c r="CO378" s="1708"/>
      <c r="CP378" s="1708"/>
      <c r="CQ378" s="1708"/>
      <c r="CR378" s="1708"/>
      <c r="CS378" s="1708"/>
      <c r="CT378" s="1708"/>
      <c r="CU378" s="1708"/>
      <c r="CV378" s="1708"/>
      <c r="CW378" s="1708"/>
      <c r="CX378" s="1708"/>
      <c r="CY378" s="1708"/>
      <c r="CZ378" s="1708"/>
      <c r="DA378" s="1708"/>
      <c r="DB378" s="1708"/>
      <c r="DC378" s="1708"/>
      <c r="DD378" s="1708"/>
      <c r="DE378" s="1708"/>
      <c r="DF378" s="1708"/>
      <c r="DG378" s="1708"/>
      <c r="DH378" s="1708"/>
      <c r="DI378" s="1708"/>
      <c r="DJ378" s="1708"/>
      <c r="DK378" s="1708"/>
      <c r="DL378" s="1708"/>
      <c r="DM378" s="1708"/>
      <c r="DN378" s="1708"/>
      <c r="DO378" s="1708"/>
      <c r="DP378" s="1708"/>
      <c r="DQ378" s="1708"/>
      <c r="DR378" s="1708"/>
      <c r="DS378" s="1708"/>
      <c r="DT378" s="1708"/>
      <c r="DU378" s="1708"/>
      <c r="DV378" s="1708"/>
      <c r="DW378" s="1708"/>
      <c r="DX378" s="1708"/>
      <c r="DY378" s="1708"/>
      <c r="DZ378" s="1708"/>
      <c r="EA378" s="1708"/>
      <c r="EB378" s="1708"/>
      <c r="EC378" s="1708"/>
      <c r="ED378" s="1708"/>
      <c r="EE378" s="1708"/>
      <c r="EF378" s="1708"/>
      <c r="EG378" s="1708"/>
      <c r="EH378" s="1708"/>
      <c r="EI378" s="1708"/>
      <c r="EJ378" s="1708"/>
      <c r="EK378" s="1708"/>
      <c r="EL378" s="1708"/>
      <c r="EM378" s="1708"/>
      <c r="EN378" s="1708"/>
      <c r="EO378" s="1708"/>
      <c r="EP378" s="1708"/>
      <c r="EQ378" s="1708"/>
      <c r="ER378" s="1708"/>
      <c r="ES378" s="1708"/>
      <c r="ET378" s="1708"/>
      <c r="EU378" s="1708"/>
      <c r="EV378" s="1708"/>
      <c r="EW378" s="1708"/>
      <c r="EX378" s="1708"/>
      <c r="EY378" s="1708"/>
      <c r="EZ378" s="1708"/>
      <c r="FA378" s="1708"/>
      <c r="FB378" s="1708"/>
      <c r="FC378" s="1708"/>
      <c r="FD378" s="1708"/>
      <c r="FE378" s="1708"/>
      <c r="FF378" s="1708"/>
      <c r="FG378" s="1708"/>
      <c r="FH378" s="1708"/>
      <c r="FI378" s="1708"/>
      <c r="FJ378" s="1708"/>
      <c r="FK378" s="1708"/>
      <c r="FL378" s="1708"/>
      <c r="FM378" s="1708"/>
      <c r="FN378" s="1708"/>
      <c r="FO378" s="1708"/>
      <c r="FP378" s="1708"/>
      <c r="FQ378" s="1708"/>
      <c r="FR378" s="1708"/>
      <c r="FS378" s="1708"/>
      <c r="FT378" s="1708"/>
      <c r="FU378" s="1708"/>
      <c r="FV378" s="1708"/>
      <c r="FW378" s="1708"/>
      <c r="FX378" s="1708"/>
      <c r="FY378" s="1708"/>
      <c r="FZ378" s="1708"/>
      <c r="GA378" s="1708"/>
      <c r="GB378" s="1708"/>
      <c r="GC378" s="1708"/>
      <c r="GD378" s="1708"/>
      <c r="GE378" s="1708"/>
      <c r="GF378" s="1708"/>
      <c r="GG378" s="1708"/>
      <c r="GH378" s="1708"/>
      <c r="GI378" s="1708"/>
      <c r="GJ378" s="1708"/>
      <c r="GK378" s="1708"/>
      <c r="GL378" s="1708"/>
      <c r="GM378" s="1708"/>
      <c r="GN378" s="1708"/>
      <c r="GO378" s="1708"/>
      <c r="GP378" s="1708"/>
      <c r="GQ378" s="1708"/>
      <c r="GR378" s="1708"/>
      <c r="GS378" s="1708"/>
      <c r="GT378" s="1708"/>
      <c r="GU378" s="1708"/>
      <c r="GV378" s="1708"/>
      <c r="GW378" s="1708"/>
      <c r="GX378" s="1708"/>
      <c r="GY378" s="1708"/>
      <c r="GZ378" s="1708"/>
      <c r="HA378" s="1708"/>
      <c r="HB378" s="1708"/>
      <c r="HC378" s="1708"/>
      <c r="HD378" s="1708"/>
      <c r="HE378" s="1708"/>
      <c r="HF378" s="1708"/>
      <c r="HG378" s="1708"/>
      <c r="HH378" s="1708"/>
      <c r="HI378" s="1708"/>
      <c r="HJ378" s="1708"/>
      <c r="HK378" s="1708"/>
      <c r="HL378" s="1708"/>
      <c r="HM378" s="1708"/>
      <c r="HN378" s="1708"/>
      <c r="HO378" s="1708"/>
      <c r="HP378" s="1708"/>
      <c r="HQ378" s="1708"/>
      <c r="HR378" s="1708"/>
      <c r="HS378" s="1708"/>
      <c r="HT378" s="1708"/>
      <c r="HU378" s="1708"/>
      <c r="HV378" s="1708"/>
      <c r="HW378" s="1708"/>
      <c r="HX378" s="1708"/>
      <c r="HY378" s="1708"/>
      <c r="HZ378" s="1708"/>
      <c r="IA378" s="1708"/>
      <c r="IB378" s="1708"/>
      <c r="IC378" s="1708"/>
      <c r="ID378" s="1708"/>
      <c r="IE378" s="1708"/>
      <c r="IF378" s="1708"/>
      <c r="IG378" s="1708"/>
      <c r="IH378" s="1708"/>
      <c r="II378" s="1708"/>
      <c r="IJ378" s="1708"/>
      <c r="IK378" s="1708"/>
      <c r="IL378" s="1708"/>
      <c r="IM378" s="1708"/>
      <c r="IN378" s="1708"/>
      <c r="IO378" s="1708"/>
      <c r="IP378" s="1708"/>
      <c r="IQ378" s="1708"/>
      <c r="IR378" s="1708"/>
      <c r="IS378" s="1708"/>
      <c r="IT378" s="1708"/>
      <c r="IU378" s="1708"/>
      <c r="IV378" s="1708"/>
    </row>
    <row r="379" spans="2:256" s="57" customFormat="1" x14ac:dyDescent="0.25">
      <c r="B379" s="1836"/>
      <c r="G379" s="1849"/>
      <c r="J379" s="1850"/>
      <c r="K379" s="1850"/>
      <c r="S379" s="1708"/>
      <c r="T379" s="1708"/>
      <c r="U379" s="1708"/>
      <c r="V379" s="1708"/>
      <c r="W379" s="1708"/>
      <c r="X379" s="1708"/>
      <c r="Y379" s="1708"/>
      <c r="Z379" s="1708"/>
      <c r="AA379" s="1708"/>
      <c r="AB379" s="1708"/>
      <c r="AC379" s="1708"/>
      <c r="AD379" s="1708"/>
      <c r="AE379" s="1708"/>
      <c r="AF379" s="1708"/>
      <c r="AG379" s="1708"/>
      <c r="AH379" s="1708"/>
      <c r="AI379" s="1708"/>
      <c r="AJ379" s="1708"/>
      <c r="AK379" s="1708"/>
      <c r="AL379" s="1708"/>
      <c r="AM379" s="1708"/>
      <c r="AN379" s="1708"/>
      <c r="AO379" s="1708"/>
      <c r="AP379" s="1708"/>
      <c r="AQ379" s="1708"/>
      <c r="AR379" s="1708"/>
      <c r="AS379" s="1708"/>
      <c r="AT379" s="1708"/>
      <c r="AU379" s="1708"/>
      <c r="AV379" s="1708"/>
      <c r="AW379" s="1708"/>
      <c r="AX379" s="1708"/>
      <c r="AY379" s="1708"/>
      <c r="AZ379" s="1708"/>
      <c r="BA379" s="1708"/>
      <c r="BB379" s="1708"/>
      <c r="BC379" s="1708"/>
      <c r="BD379" s="1708"/>
      <c r="BE379" s="1708"/>
      <c r="BF379" s="1708"/>
      <c r="BG379" s="1708"/>
      <c r="BH379" s="1708"/>
      <c r="BI379" s="1708"/>
      <c r="BJ379" s="1708"/>
      <c r="BK379" s="1708"/>
      <c r="BL379" s="1708"/>
      <c r="BM379" s="1708"/>
      <c r="BN379" s="1708"/>
      <c r="BO379" s="1708"/>
      <c r="BP379" s="1708"/>
      <c r="BQ379" s="1708"/>
      <c r="BR379" s="1708"/>
      <c r="BS379" s="1708"/>
      <c r="BT379" s="1708"/>
      <c r="BU379" s="1708"/>
      <c r="BV379" s="1708"/>
      <c r="BW379" s="1708"/>
      <c r="BX379" s="1708"/>
      <c r="BY379" s="1708"/>
      <c r="BZ379" s="1708"/>
      <c r="CA379" s="1708"/>
      <c r="CB379" s="1708"/>
      <c r="CC379" s="1708"/>
      <c r="CD379" s="1708"/>
      <c r="CE379" s="1708"/>
      <c r="CF379" s="1708"/>
      <c r="CG379" s="1708"/>
      <c r="CH379" s="1708"/>
      <c r="CI379" s="1708"/>
      <c r="CJ379" s="1708"/>
      <c r="CK379" s="1708"/>
      <c r="CL379" s="1708"/>
      <c r="CM379" s="1708"/>
      <c r="CN379" s="1708"/>
      <c r="CO379" s="1708"/>
      <c r="CP379" s="1708"/>
      <c r="CQ379" s="1708"/>
      <c r="CR379" s="1708"/>
      <c r="CS379" s="1708"/>
      <c r="CT379" s="1708"/>
      <c r="CU379" s="1708"/>
      <c r="CV379" s="1708"/>
      <c r="CW379" s="1708"/>
      <c r="CX379" s="1708"/>
      <c r="CY379" s="1708"/>
      <c r="CZ379" s="1708"/>
      <c r="DA379" s="1708"/>
      <c r="DB379" s="1708"/>
      <c r="DC379" s="1708"/>
      <c r="DD379" s="1708"/>
      <c r="DE379" s="1708"/>
      <c r="DF379" s="1708"/>
      <c r="DG379" s="1708"/>
      <c r="DH379" s="1708"/>
      <c r="DI379" s="1708"/>
      <c r="DJ379" s="1708"/>
      <c r="DK379" s="1708"/>
      <c r="DL379" s="1708"/>
      <c r="DM379" s="1708"/>
      <c r="DN379" s="1708"/>
      <c r="DO379" s="1708"/>
      <c r="DP379" s="1708"/>
      <c r="DQ379" s="1708"/>
      <c r="DR379" s="1708"/>
      <c r="DS379" s="1708"/>
      <c r="DT379" s="1708"/>
      <c r="DU379" s="1708"/>
      <c r="DV379" s="1708"/>
      <c r="DW379" s="1708"/>
      <c r="DX379" s="1708"/>
      <c r="DY379" s="1708"/>
      <c r="DZ379" s="1708"/>
      <c r="EA379" s="1708"/>
      <c r="EB379" s="1708"/>
      <c r="EC379" s="1708"/>
      <c r="ED379" s="1708"/>
      <c r="EE379" s="1708"/>
      <c r="EF379" s="1708"/>
      <c r="EG379" s="1708"/>
      <c r="EH379" s="1708"/>
      <c r="EI379" s="1708"/>
      <c r="EJ379" s="1708"/>
      <c r="EK379" s="1708"/>
      <c r="EL379" s="1708"/>
      <c r="EM379" s="1708"/>
      <c r="EN379" s="1708"/>
      <c r="EO379" s="1708"/>
      <c r="EP379" s="1708"/>
      <c r="EQ379" s="1708"/>
      <c r="ER379" s="1708"/>
      <c r="ES379" s="1708"/>
      <c r="ET379" s="1708"/>
      <c r="EU379" s="1708"/>
      <c r="EV379" s="1708"/>
      <c r="EW379" s="1708"/>
      <c r="EX379" s="1708"/>
      <c r="EY379" s="1708"/>
      <c r="EZ379" s="1708"/>
      <c r="FA379" s="1708"/>
      <c r="FB379" s="1708"/>
      <c r="FC379" s="1708"/>
      <c r="FD379" s="1708"/>
      <c r="FE379" s="1708"/>
      <c r="FF379" s="1708"/>
      <c r="FG379" s="1708"/>
      <c r="FH379" s="1708"/>
      <c r="FI379" s="1708"/>
      <c r="FJ379" s="1708"/>
      <c r="FK379" s="1708"/>
      <c r="FL379" s="1708"/>
      <c r="FM379" s="1708"/>
      <c r="FN379" s="1708"/>
      <c r="FO379" s="1708"/>
      <c r="FP379" s="1708"/>
      <c r="FQ379" s="1708"/>
      <c r="FR379" s="1708"/>
      <c r="FS379" s="1708"/>
      <c r="FT379" s="1708"/>
      <c r="FU379" s="1708"/>
      <c r="FV379" s="1708"/>
      <c r="FW379" s="1708"/>
      <c r="FX379" s="1708"/>
      <c r="FY379" s="1708"/>
      <c r="FZ379" s="1708"/>
      <c r="GA379" s="1708"/>
      <c r="GB379" s="1708"/>
      <c r="GC379" s="1708"/>
      <c r="GD379" s="1708"/>
      <c r="GE379" s="1708"/>
      <c r="GF379" s="1708"/>
      <c r="GG379" s="1708"/>
      <c r="GH379" s="1708"/>
      <c r="GI379" s="1708"/>
      <c r="GJ379" s="1708"/>
      <c r="GK379" s="1708"/>
      <c r="GL379" s="1708"/>
      <c r="GM379" s="1708"/>
      <c r="GN379" s="1708"/>
      <c r="GO379" s="1708"/>
      <c r="GP379" s="1708"/>
      <c r="GQ379" s="1708"/>
      <c r="GR379" s="1708"/>
      <c r="GS379" s="1708"/>
      <c r="GT379" s="1708"/>
      <c r="GU379" s="1708"/>
      <c r="GV379" s="1708"/>
      <c r="GW379" s="1708"/>
      <c r="GX379" s="1708"/>
      <c r="GY379" s="1708"/>
      <c r="GZ379" s="1708"/>
      <c r="HA379" s="1708"/>
      <c r="HB379" s="1708"/>
      <c r="HC379" s="1708"/>
      <c r="HD379" s="1708"/>
      <c r="HE379" s="1708"/>
      <c r="HF379" s="1708"/>
      <c r="HG379" s="1708"/>
      <c r="HH379" s="1708"/>
      <c r="HI379" s="1708"/>
      <c r="HJ379" s="1708"/>
      <c r="HK379" s="1708"/>
      <c r="HL379" s="1708"/>
      <c r="HM379" s="1708"/>
      <c r="HN379" s="1708"/>
      <c r="HO379" s="1708"/>
      <c r="HP379" s="1708"/>
      <c r="HQ379" s="1708"/>
      <c r="HR379" s="1708"/>
      <c r="HS379" s="1708"/>
      <c r="HT379" s="1708"/>
      <c r="HU379" s="1708"/>
      <c r="HV379" s="1708"/>
      <c r="HW379" s="1708"/>
      <c r="HX379" s="1708"/>
      <c r="HY379" s="1708"/>
      <c r="HZ379" s="1708"/>
      <c r="IA379" s="1708"/>
      <c r="IB379" s="1708"/>
      <c r="IC379" s="1708"/>
      <c r="ID379" s="1708"/>
      <c r="IE379" s="1708"/>
      <c r="IF379" s="1708"/>
      <c r="IG379" s="1708"/>
      <c r="IH379" s="1708"/>
      <c r="II379" s="1708"/>
      <c r="IJ379" s="1708"/>
      <c r="IK379" s="1708"/>
      <c r="IL379" s="1708"/>
      <c r="IM379" s="1708"/>
      <c r="IN379" s="1708"/>
      <c r="IO379" s="1708"/>
      <c r="IP379" s="1708"/>
      <c r="IQ379" s="1708"/>
      <c r="IR379" s="1708"/>
      <c r="IS379" s="1708"/>
      <c r="IT379" s="1708"/>
      <c r="IU379" s="1708"/>
      <c r="IV379" s="1708"/>
    </row>
    <row r="380" spans="2:256" s="57" customFormat="1" x14ac:dyDescent="0.25">
      <c r="B380" s="1836"/>
      <c r="G380" s="1849"/>
      <c r="J380" s="1850"/>
      <c r="K380" s="1850"/>
      <c r="S380" s="1708"/>
      <c r="T380" s="1708"/>
      <c r="U380" s="1708"/>
      <c r="V380" s="1708"/>
      <c r="W380" s="1708"/>
      <c r="X380" s="1708"/>
      <c r="Y380" s="1708"/>
      <c r="Z380" s="1708"/>
      <c r="AA380" s="1708"/>
      <c r="AB380" s="1708"/>
      <c r="AC380" s="1708"/>
      <c r="AD380" s="1708"/>
      <c r="AE380" s="1708"/>
      <c r="AF380" s="1708"/>
      <c r="AG380" s="1708"/>
      <c r="AH380" s="1708"/>
      <c r="AI380" s="1708"/>
      <c r="AJ380" s="1708"/>
      <c r="AK380" s="1708"/>
      <c r="AL380" s="1708"/>
      <c r="AM380" s="1708"/>
      <c r="AN380" s="1708"/>
      <c r="AO380" s="1708"/>
      <c r="AP380" s="1708"/>
      <c r="AQ380" s="1708"/>
      <c r="AR380" s="1708"/>
      <c r="AS380" s="1708"/>
      <c r="AT380" s="1708"/>
      <c r="AU380" s="1708"/>
      <c r="AV380" s="1708"/>
      <c r="AW380" s="1708"/>
      <c r="AX380" s="1708"/>
      <c r="AY380" s="1708"/>
      <c r="AZ380" s="1708"/>
      <c r="BA380" s="1708"/>
      <c r="BB380" s="1708"/>
      <c r="BC380" s="1708"/>
      <c r="BD380" s="1708"/>
      <c r="BE380" s="1708"/>
      <c r="BF380" s="1708"/>
      <c r="BG380" s="1708"/>
      <c r="BH380" s="1708"/>
      <c r="BI380" s="1708"/>
      <c r="BJ380" s="1708"/>
      <c r="BK380" s="1708"/>
      <c r="BL380" s="1708"/>
      <c r="BM380" s="1708"/>
      <c r="BN380" s="1708"/>
      <c r="BO380" s="1708"/>
      <c r="BP380" s="1708"/>
      <c r="BQ380" s="1708"/>
      <c r="BR380" s="1708"/>
      <c r="BS380" s="1708"/>
      <c r="BT380" s="1708"/>
      <c r="BU380" s="1708"/>
      <c r="BV380" s="1708"/>
      <c r="BW380" s="1708"/>
      <c r="BX380" s="1708"/>
      <c r="BY380" s="1708"/>
      <c r="BZ380" s="1708"/>
      <c r="CA380" s="1708"/>
      <c r="CB380" s="1708"/>
      <c r="CC380" s="1708"/>
      <c r="CD380" s="1708"/>
      <c r="CE380" s="1708"/>
      <c r="CF380" s="1708"/>
      <c r="CG380" s="1708"/>
      <c r="CH380" s="1708"/>
      <c r="CI380" s="1708"/>
      <c r="CJ380" s="1708"/>
      <c r="CK380" s="1708"/>
      <c r="CL380" s="1708"/>
      <c r="CM380" s="1708"/>
      <c r="CN380" s="1708"/>
      <c r="CO380" s="1708"/>
      <c r="CP380" s="1708"/>
      <c r="CQ380" s="1708"/>
      <c r="CR380" s="1708"/>
      <c r="CS380" s="1708"/>
      <c r="CT380" s="1708"/>
      <c r="CU380" s="1708"/>
      <c r="CV380" s="1708"/>
      <c r="CW380" s="1708"/>
      <c r="CX380" s="1708"/>
      <c r="CY380" s="1708"/>
      <c r="CZ380" s="1708"/>
      <c r="DA380" s="1708"/>
      <c r="DB380" s="1708"/>
      <c r="DC380" s="1708"/>
      <c r="DD380" s="1708"/>
      <c r="DE380" s="1708"/>
      <c r="DF380" s="1708"/>
      <c r="DG380" s="1708"/>
      <c r="DH380" s="1708"/>
      <c r="DI380" s="1708"/>
      <c r="DJ380" s="1708"/>
      <c r="DK380" s="1708"/>
      <c r="DL380" s="1708"/>
      <c r="DM380" s="1708"/>
      <c r="DN380" s="1708"/>
      <c r="DO380" s="1708"/>
      <c r="DP380" s="1708"/>
      <c r="DQ380" s="1708"/>
      <c r="DR380" s="1708"/>
      <c r="DS380" s="1708"/>
      <c r="DT380" s="1708"/>
      <c r="DU380" s="1708"/>
      <c r="DV380" s="1708"/>
      <c r="DW380" s="1708"/>
      <c r="DX380" s="1708"/>
      <c r="DY380" s="1708"/>
      <c r="DZ380" s="1708"/>
      <c r="EA380" s="1708"/>
      <c r="EB380" s="1708"/>
      <c r="EC380" s="1708"/>
      <c r="ED380" s="1708"/>
      <c r="EE380" s="1708"/>
      <c r="EF380" s="1708"/>
      <c r="EG380" s="1708"/>
      <c r="EH380" s="1708"/>
      <c r="EI380" s="1708"/>
      <c r="EJ380" s="1708"/>
      <c r="EK380" s="1708"/>
      <c r="EL380" s="1708"/>
      <c r="EM380" s="1708"/>
      <c r="EN380" s="1708"/>
      <c r="EO380" s="1708"/>
      <c r="EP380" s="1708"/>
      <c r="EQ380" s="1708"/>
      <c r="ER380" s="1708"/>
      <c r="ES380" s="1708"/>
      <c r="ET380" s="1708"/>
      <c r="EU380" s="1708"/>
      <c r="EV380" s="1708"/>
      <c r="EW380" s="1708"/>
      <c r="EX380" s="1708"/>
      <c r="EY380" s="1708"/>
      <c r="EZ380" s="1708"/>
      <c r="FA380" s="1708"/>
      <c r="FB380" s="1708"/>
      <c r="FC380" s="1708"/>
      <c r="FD380" s="1708"/>
      <c r="FE380" s="1708"/>
      <c r="FF380" s="1708"/>
      <c r="FG380" s="1708"/>
      <c r="FH380" s="1708"/>
      <c r="FI380" s="1708"/>
      <c r="FJ380" s="1708"/>
      <c r="FK380" s="1708"/>
      <c r="FL380" s="1708"/>
      <c r="FM380" s="1708"/>
      <c r="FN380" s="1708"/>
      <c r="FO380" s="1708"/>
      <c r="FP380" s="1708"/>
      <c r="FQ380" s="1708"/>
      <c r="FR380" s="1708"/>
      <c r="FS380" s="1708"/>
      <c r="FT380" s="1708"/>
      <c r="FU380" s="1708"/>
      <c r="FV380" s="1708"/>
      <c r="FW380" s="1708"/>
      <c r="FX380" s="1708"/>
      <c r="FY380" s="1708"/>
      <c r="FZ380" s="1708"/>
      <c r="GA380" s="1708"/>
      <c r="GB380" s="1708"/>
      <c r="GC380" s="1708"/>
      <c r="GD380" s="1708"/>
      <c r="GE380" s="1708"/>
      <c r="GF380" s="1708"/>
      <c r="GG380" s="1708"/>
      <c r="GH380" s="1708"/>
      <c r="GI380" s="1708"/>
      <c r="GJ380" s="1708"/>
      <c r="GK380" s="1708"/>
      <c r="GL380" s="1708"/>
      <c r="GM380" s="1708"/>
      <c r="GN380" s="1708"/>
      <c r="GO380" s="1708"/>
      <c r="GP380" s="1708"/>
      <c r="GQ380" s="1708"/>
      <c r="GR380" s="1708"/>
      <c r="GS380" s="1708"/>
      <c r="GT380" s="1708"/>
      <c r="GU380" s="1708"/>
      <c r="GV380" s="1708"/>
      <c r="GW380" s="1708"/>
      <c r="GX380" s="1708"/>
      <c r="GY380" s="1708"/>
      <c r="GZ380" s="1708"/>
      <c r="HA380" s="1708"/>
      <c r="HB380" s="1708"/>
      <c r="HC380" s="1708"/>
      <c r="HD380" s="1708"/>
      <c r="HE380" s="1708"/>
      <c r="HF380" s="1708"/>
      <c r="HG380" s="1708"/>
      <c r="HH380" s="1708"/>
      <c r="HI380" s="1708"/>
      <c r="HJ380" s="1708"/>
      <c r="HK380" s="1708"/>
      <c r="HL380" s="1708"/>
      <c r="HM380" s="1708"/>
      <c r="HN380" s="1708"/>
      <c r="HO380" s="1708"/>
      <c r="HP380" s="1708"/>
      <c r="HQ380" s="1708"/>
      <c r="HR380" s="1708"/>
      <c r="HS380" s="1708"/>
      <c r="HT380" s="1708"/>
      <c r="HU380" s="1708"/>
      <c r="HV380" s="1708"/>
      <c r="HW380" s="1708"/>
      <c r="HX380" s="1708"/>
      <c r="HY380" s="1708"/>
      <c r="HZ380" s="1708"/>
      <c r="IA380" s="1708"/>
      <c r="IB380" s="1708"/>
      <c r="IC380" s="1708"/>
      <c r="ID380" s="1708"/>
      <c r="IE380" s="1708"/>
      <c r="IF380" s="1708"/>
      <c r="IG380" s="1708"/>
      <c r="IH380" s="1708"/>
      <c r="II380" s="1708"/>
      <c r="IJ380" s="1708"/>
      <c r="IK380" s="1708"/>
      <c r="IL380" s="1708"/>
      <c r="IM380" s="1708"/>
      <c r="IN380" s="1708"/>
      <c r="IO380" s="1708"/>
      <c r="IP380" s="1708"/>
      <c r="IQ380" s="1708"/>
      <c r="IR380" s="1708"/>
      <c r="IS380" s="1708"/>
      <c r="IT380" s="1708"/>
      <c r="IU380" s="1708"/>
      <c r="IV380" s="1708"/>
    </row>
    <row r="381" spans="2:256" s="57" customFormat="1" x14ac:dyDescent="0.25">
      <c r="B381" s="1836"/>
      <c r="G381" s="1849"/>
      <c r="J381" s="1850"/>
      <c r="K381" s="1850"/>
      <c r="S381" s="1708"/>
      <c r="T381" s="1708"/>
      <c r="U381" s="1708"/>
      <c r="V381" s="1708"/>
      <c r="W381" s="1708"/>
      <c r="X381" s="1708"/>
      <c r="Y381" s="1708"/>
      <c r="Z381" s="1708"/>
      <c r="AA381" s="1708"/>
      <c r="AB381" s="1708"/>
      <c r="AC381" s="1708"/>
      <c r="AD381" s="1708"/>
      <c r="AE381" s="1708"/>
      <c r="AF381" s="1708"/>
      <c r="AG381" s="1708"/>
      <c r="AH381" s="1708"/>
      <c r="AI381" s="1708"/>
      <c r="AJ381" s="1708"/>
      <c r="AK381" s="1708"/>
      <c r="AL381" s="1708"/>
      <c r="AM381" s="1708"/>
      <c r="AN381" s="1708"/>
      <c r="AO381" s="1708"/>
      <c r="AP381" s="1708"/>
      <c r="AQ381" s="1708"/>
      <c r="AR381" s="1708"/>
      <c r="AS381" s="1708"/>
      <c r="AT381" s="1708"/>
      <c r="AU381" s="1708"/>
      <c r="AV381" s="1708"/>
      <c r="AW381" s="1708"/>
      <c r="AX381" s="1708"/>
      <c r="AY381" s="1708"/>
      <c r="AZ381" s="1708"/>
      <c r="BA381" s="1708"/>
      <c r="BB381" s="1708"/>
      <c r="BC381" s="1708"/>
      <c r="BD381" s="1708"/>
      <c r="BE381" s="1708"/>
      <c r="BF381" s="1708"/>
      <c r="BG381" s="1708"/>
      <c r="BH381" s="1708"/>
      <c r="BI381" s="1708"/>
      <c r="BJ381" s="1708"/>
      <c r="BK381" s="1708"/>
      <c r="BL381" s="1708"/>
      <c r="BM381" s="1708"/>
      <c r="BN381" s="1708"/>
      <c r="BO381" s="1708"/>
      <c r="BP381" s="1708"/>
      <c r="BQ381" s="1708"/>
      <c r="BR381" s="1708"/>
      <c r="BS381" s="1708"/>
      <c r="BT381" s="1708"/>
      <c r="BU381" s="1708"/>
      <c r="BV381" s="1708"/>
      <c r="BW381" s="1708"/>
      <c r="BX381" s="1708"/>
      <c r="BY381" s="1708"/>
      <c r="BZ381" s="1708"/>
      <c r="CA381" s="1708"/>
      <c r="CB381" s="1708"/>
      <c r="CC381" s="1708"/>
      <c r="CD381" s="1708"/>
      <c r="CE381" s="1708"/>
      <c r="CF381" s="1708"/>
      <c r="CG381" s="1708"/>
      <c r="CH381" s="1708"/>
      <c r="CI381" s="1708"/>
      <c r="CJ381" s="1708"/>
      <c r="CK381" s="1708"/>
      <c r="CL381" s="1708"/>
      <c r="CM381" s="1708"/>
      <c r="CN381" s="1708"/>
      <c r="CO381" s="1708"/>
      <c r="CP381" s="1708"/>
      <c r="CQ381" s="1708"/>
      <c r="CR381" s="1708"/>
      <c r="CS381" s="1708"/>
      <c r="CT381" s="1708"/>
      <c r="CU381" s="1708"/>
      <c r="CV381" s="1708"/>
      <c r="CW381" s="1708"/>
      <c r="CX381" s="1708"/>
      <c r="CY381" s="1708"/>
      <c r="CZ381" s="1708"/>
      <c r="DA381" s="1708"/>
      <c r="DB381" s="1708"/>
      <c r="DC381" s="1708"/>
      <c r="DD381" s="1708"/>
      <c r="DE381" s="1708"/>
      <c r="DF381" s="1708"/>
      <c r="DG381" s="1708"/>
      <c r="DH381" s="1708"/>
      <c r="DI381" s="1708"/>
      <c r="DJ381" s="1708"/>
      <c r="DK381" s="1708"/>
      <c r="DL381" s="1708"/>
      <c r="DM381" s="1708"/>
      <c r="DN381" s="1708"/>
      <c r="DO381" s="1708"/>
      <c r="DP381" s="1708"/>
      <c r="DQ381" s="1708"/>
      <c r="DR381" s="1708"/>
      <c r="DS381" s="1708"/>
      <c r="DT381" s="1708"/>
      <c r="DU381" s="1708"/>
      <c r="DV381" s="1708"/>
      <c r="DW381" s="1708"/>
      <c r="DX381" s="1708"/>
      <c r="DY381" s="1708"/>
      <c r="DZ381" s="1708"/>
      <c r="EA381" s="1708"/>
      <c r="EB381" s="1708"/>
      <c r="EC381" s="1708"/>
      <c r="ED381" s="1708"/>
      <c r="EE381" s="1708"/>
      <c r="EF381" s="1708"/>
      <c r="EG381" s="1708"/>
      <c r="EH381" s="1708"/>
      <c r="EI381" s="1708"/>
      <c r="EJ381" s="1708"/>
      <c r="EK381" s="1708"/>
      <c r="EL381" s="1708"/>
      <c r="EM381" s="1708"/>
      <c r="EN381" s="1708"/>
      <c r="EO381" s="1708"/>
      <c r="EP381" s="1708"/>
      <c r="EQ381" s="1708"/>
      <c r="ER381" s="1708"/>
      <c r="ES381" s="1708"/>
      <c r="ET381" s="1708"/>
      <c r="EU381" s="1708"/>
      <c r="EV381" s="1708"/>
      <c r="EW381" s="1708"/>
      <c r="EX381" s="1708"/>
      <c r="EY381" s="1708"/>
      <c r="EZ381" s="1708"/>
      <c r="FA381" s="1708"/>
      <c r="FB381" s="1708"/>
      <c r="FC381" s="1708"/>
      <c r="FD381" s="1708"/>
      <c r="FE381" s="1708"/>
      <c r="FF381" s="1708"/>
      <c r="FG381" s="1708"/>
      <c r="FH381" s="1708"/>
      <c r="FI381" s="1708"/>
      <c r="FJ381" s="1708"/>
      <c r="FK381" s="1708"/>
      <c r="FL381" s="1708"/>
      <c r="FM381" s="1708"/>
      <c r="FN381" s="1708"/>
      <c r="FO381" s="1708"/>
      <c r="FP381" s="1708"/>
      <c r="FQ381" s="1708"/>
      <c r="FR381" s="1708"/>
      <c r="FS381" s="1708"/>
      <c r="FT381" s="1708"/>
      <c r="FU381" s="1708"/>
      <c r="FV381" s="1708"/>
      <c r="FW381" s="1708"/>
      <c r="FX381" s="1708"/>
      <c r="FY381" s="1708"/>
      <c r="FZ381" s="1708"/>
      <c r="GA381" s="1708"/>
      <c r="GB381" s="1708"/>
      <c r="GC381" s="1708"/>
      <c r="GD381" s="1708"/>
      <c r="GE381" s="1708"/>
      <c r="GF381" s="1708"/>
      <c r="GG381" s="1708"/>
      <c r="GH381" s="1708"/>
      <c r="GI381" s="1708"/>
      <c r="GJ381" s="1708"/>
      <c r="GK381" s="1708"/>
      <c r="GL381" s="1708"/>
      <c r="GM381" s="1708"/>
      <c r="GN381" s="1708"/>
      <c r="GO381" s="1708"/>
      <c r="GP381" s="1708"/>
      <c r="GQ381" s="1708"/>
      <c r="GR381" s="1708"/>
      <c r="GS381" s="1708"/>
      <c r="GT381" s="1708"/>
      <c r="GU381" s="1708"/>
      <c r="GV381" s="1708"/>
      <c r="GW381" s="1708"/>
      <c r="GX381" s="1708"/>
      <c r="GY381" s="1708"/>
      <c r="GZ381" s="1708"/>
      <c r="HA381" s="1708"/>
      <c r="HB381" s="1708"/>
      <c r="HC381" s="1708"/>
      <c r="HD381" s="1708"/>
      <c r="HE381" s="1708"/>
      <c r="HF381" s="1708"/>
      <c r="HG381" s="1708"/>
      <c r="HH381" s="1708"/>
      <c r="HI381" s="1708"/>
      <c r="HJ381" s="1708"/>
      <c r="HK381" s="1708"/>
      <c r="HL381" s="1708"/>
      <c r="HM381" s="1708"/>
      <c r="HN381" s="1708"/>
      <c r="HO381" s="1708"/>
      <c r="HP381" s="1708"/>
      <c r="HQ381" s="1708"/>
      <c r="HR381" s="1708"/>
      <c r="HS381" s="1708"/>
      <c r="HT381" s="1708"/>
      <c r="HU381" s="1708"/>
      <c r="HV381" s="1708"/>
      <c r="HW381" s="1708"/>
      <c r="HX381" s="1708"/>
      <c r="HY381" s="1708"/>
      <c r="HZ381" s="1708"/>
      <c r="IA381" s="1708"/>
      <c r="IB381" s="1708"/>
      <c r="IC381" s="1708"/>
      <c r="ID381" s="1708"/>
      <c r="IE381" s="1708"/>
      <c r="IF381" s="1708"/>
      <c r="IG381" s="1708"/>
      <c r="IH381" s="1708"/>
      <c r="II381" s="1708"/>
      <c r="IJ381" s="1708"/>
      <c r="IK381" s="1708"/>
      <c r="IL381" s="1708"/>
      <c r="IM381" s="1708"/>
      <c r="IN381" s="1708"/>
      <c r="IO381" s="1708"/>
      <c r="IP381" s="1708"/>
      <c r="IQ381" s="1708"/>
      <c r="IR381" s="1708"/>
      <c r="IS381" s="1708"/>
      <c r="IT381" s="1708"/>
      <c r="IU381" s="1708"/>
      <c r="IV381" s="1708"/>
    </row>
    <row r="382" spans="2:256" s="57" customFormat="1" x14ac:dyDescent="0.25">
      <c r="B382" s="1836"/>
      <c r="G382" s="1849"/>
      <c r="J382" s="1850"/>
      <c r="K382" s="1850"/>
      <c r="S382" s="1708"/>
      <c r="T382" s="1708"/>
      <c r="U382" s="1708"/>
      <c r="V382" s="1708"/>
      <c r="W382" s="1708"/>
      <c r="X382" s="1708"/>
      <c r="Y382" s="1708"/>
      <c r="Z382" s="1708"/>
      <c r="AA382" s="1708"/>
      <c r="AB382" s="1708"/>
      <c r="AC382" s="1708"/>
      <c r="AD382" s="1708"/>
      <c r="AE382" s="1708"/>
      <c r="AF382" s="1708"/>
      <c r="AG382" s="1708"/>
      <c r="AH382" s="1708"/>
      <c r="AI382" s="1708"/>
      <c r="AJ382" s="1708"/>
      <c r="AK382" s="1708"/>
      <c r="AL382" s="1708"/>
      <c r="AM382" s="1708"/>
      <c r="AN382" s="1708"/>
      <c r="AO382" s="1708"/>
      <c r="AP382" s="1708"/>
      <c r="AQ382" s="1708"/>
      <c r="AR382" s="1708"/>
      <c r="AS382" s="1708"/>
      <c r="AT382" s="1708"/>
      <c r="AU382" s="1708"/>
      <c r="AV382" s="1708"/>
      <c r="AW382" s="1708"/>
      <c r="AX382" s="1708"/>
      <c r="AY382" s="1708"/>
      <c r="AZ382" s="1708"/>
      <c r="BA382" s="1708"/>
      <c r="BB382" s="1708"/>
      <c r="BC382" s="1708"/>
      <c r="BD382" s="1708"/>
      <c r="BE382" s="1708"/>
      <c r="BF382" s="1708"/>
      <c r="BG382" s="1708"/>
      <c r="BH382" s="1708"/>
      <c r="BI382" s="1708"/>
      <c r="BJ382" s="1708"/>
      <c r="BK382" s="1708"/>
      <c r="BL382" s="1708"/>
      <c r="BM382" s="1708"/>
      <c r="BN382" s="1708"/>
      <c r="BO382" s="1708"/>
      <c r="BP382" s="1708"/>
      <c r="BQ382" s="1708"/>
      <c r="BR382" s="1708"/>
      <c r="BS382" s="1708"/>
      <c r="BT382" s="1708"/>
      <c r="BU382" s="1708"/>
      <c r="BV382" s="1708"/>
      <c r="BW382" s="1708"/>
      <c r="BX382" s="1708"/>
      <c r="BY382" s="1708"/>
      <c r="BZ382" s="1708"/>
      <c r="CA382" s="1708"/>
      <c r="CB382" s="1708"/>
      <c r="CC382" s="1708"/>
      <c r="CD382" s="1708"/>
      <c r="CE382" s="1708"/>
      <c r="CF382" s="1708"/>
      <c r="CG382" s="1708"/>
      <c r="CH382" s="1708"/>
      <c r="CI382" s="1708"/>
      <c r="CJ382" s="1708"/>
      <c r="CK382" s="1708"/>
      <c r="CL382" s="1708"/>
      <c r="CM382" s="1708"/>
      <c r="CN382" s="1708"/>
      <c r="CO382" s="1708"/>
      <c r="CP382" s="1708"/>
      <c r="CQ382" s="1708"/>
      <c r="CR382" s="1708"/>
      <c r="CS382" s="1708"/>
      <c r="CT382" s="1708"/>
      <c r="CU382" s="1708"/>
      <c r="CV382" s="1708"/>
      <c r="CW382" s="1708"/>
      <c r="CX382" s="1708"/>
      <c r="CY382" s="1708"/>
      <c r="CZ382" s="1708"/>
      <c r="DA382" s="1708"/>
      <c r="DB382" s="1708"/>
      <c r="DC382" s="1708"/>
      <c r="DD382" s="1708"/>
      <c r="DE382" s="1708"/>
      <c r="DF382" s="1708"/>
      <c r="DG382" s="1708"/>
      <c r="DH382" s="1708"/>
      <c r="DI382" s="1708"/>
      <c r="DJ382" s="1708"/>
      <c r="DK382" s="1708"/>
      <c r="DL382" s="1708"/>
      <c r="DM382" s="1708"/>
      <c r="DN382" s="1708"/>
      <c r="DO382" s="1708"/>
      <c r="DP382" s="1708"/>
      <c r="DQ382" s="1708"/>
      <c r="DR382" s="1708"/>
      <c r="DS382" s="1708"/>
      <c r="DT382" s="1708"/>
      <c r="DU382" s="1708"/>
      <c r="DV382" s="1708"/>
      <c r="DW382" s="1708"/>
      <c r="DX382" s="1708"/>
      <c r="DY382" s="1708"/>
      <c r="DZ382" s="1708"/>
      <c r="EA382" s="1708"/>
      <c r="EB382" s="1708"/>
      <c r="EC382" s="1708"/>
      <c r="ED382" s="1708"/>
      <c r="EE382" s="1708"/>
      <c r="EF382" s="1708"/>
      <c r="EG382" s="1708"/>
      <c r="EH382" s="1708"/>
      <c r="EI382" s="1708"/>
      <c r="EJ382" s="1708"/>
      <c r="EK382" s="1708"/>
      <c r="EL382" s="1708"/>
      <c r="EM382" s="1708"/>
      <c r="EN382" s="1708"/>
      <c r="EO382" s="1708"/>
      <c r="EP382" s="1708"/>
      <c r="EQ382" s="1708"/>
      <c r="ER382" s="1708"/>
      <c r="ES382" s="1708"/>
      <c r="ET382" s="1708"/>
      <c r="EU382" s="1708"/>
      <c r="EV382" s="1708"/>
      <c r="EW382" s="1708"/>
      <c r="EX382" s="1708"/>
      <c r="EY382" s="1708"/>
      <c r="EZ382" s="1708"/>
      <c r="FA382" s="1708"/>
      <c r="FB382" s="1708"/>
      <c r="FC382" s="1708"/>
      <c r="FD382" s="1708"/>
      <c r="FE382" s="1708"/>
      <c r="FF382" s="1708"/>
      <c r="FG382" s="1708"/>
      <c r="FH382" s="1708"/>
      <c r="FI382" s="1708"/>
      <c r="FJ382" s="1708"/>
      <c r="FK382" s="1708"/>
      <c r="FL382" s="1708"/>
      <c r="FM382" s="1708"/>
      <c r="FN382" s="1708"/>
      <c r="FO382" s="1708"/>
      <c r="FP382" s="1708"/>
      <c r="FQ382" s="1708"/>
      <c r="FR382" s="1708"/>
      <c r="FS382" s="1708"/>
      <c r="FT382" s="1708"/>
      <c r="FU382" s="1708"/>
      <c r="FV382" s="1708"/>
      <c r="FW382" s="1708"/>
      <c r="FX382" s="1708"/>
      <c r="FY382" s="1708"/>
      <c r="FZ382" s="1708"/>
      <c r="GA382" s="1708"/>
      <c r="GB382" s="1708"/>
      <c r="GC382" s="1708"/>
      <c r="GD382" s="1708"/>
      <c r="GE382" s="1708"/>
      <c r="GF382" s="1708"/>
      <c r="GG382" s="1708"/>
      <c r="GH382" s="1708"/>
      <c r="GI382" s="1708"/>
      <c r="GJ382" s="1708"/>
      <c r="GK382" s="1708"/>
      <c r="GL382" s="1708"/>
      <c r="GM382" s="1708"/>
      <c r="GN382" s="1708"/>
      <c r="GO382" s="1708"/>
      <c r="GP382" s="1708"/>
      <c r="GQ382" s="1708"/>
      <c r="GR382" s="1708"/>
      <c r="GS382" s="1708"/>
      <c r="GT382" s="1708"/>
      <c r="GU382" s="1708"/>
      <c r="GV382" s="1708"/>
      <c r="GW382" s="1708"/>
      <c r="GX382" s="1708"/>
      <c r="GY382" s="1708"/>
      <c r="GZ382" s="1708"/>
      <c r="HA382" s="1708"/>
      <c r="HB382" s="1708"/>
      <c r="HC382" s="1708"/>
      <c r="HD382" s="1708"/>
      <c r="HE382" s="1708"/>
      <c r="HF382" s="1708"/>
      <c r="HG382" s="1708"/>
      <c r="HH382" s="1708"/>
      <c r="HI382" s="1708"/>
      <c r="HJ382" s="1708"/>
      <c r="HK382" s="1708"/>
      <c r="HL382" s="1708"/>
      <c r="HM382" s="1708"/>
      <c r="HN382" s="1708"/>
      <c r="HO382" s="1708"/>
      <c r="HP382" s="1708"/>
      <c r="HQ382" s="1708"/>
      <c r="HR382" s="1708"/>
      <c r="HS382" s="1708"/>
      <c r="HT382" s="1708"/>
      <c r="HU382" s="1708"/>
      <c r="HV382" s="1708"/>
      <c r="HW382" s="1708"/>
      <c r="HX382" s="1708"/>
      <c r="HY382" s="1708"/>
      <c r="HZ382" s="1708"/>
      <c r="IA382" s="1708"/>
      <c r="IB382" s="1708"/>
      <c r="IC382" s="1708"/>
      <c r="ID382" s="1708"/>
      <c r="IE382" s="1708"/>
      <c r="IF382" s="1708"/>
      <c r="IG382" s="1708"/>
      <c r="IH382" s="1708"/>
      <c r="II382" s="1708"/>
      <c r="IJ382" s="1708"/>
      <c r="IK382" s="1708"/>
      <c r="IL382" s="1708"/>
      <c r="IM382" s="1708"/>
      <c r="IN382" s="1708"/>
      <c r="IO382" s="1708"/>
      <c r="IP382" s="1708"/>
      <c r="IQ382" s="1708"/>
      <c r="IR382" s="1708"/>
      <c r="IS382" s="1708"/>
      <c r="IT382" s="1708"/>
      <c r="IU382" s="1708"/>
      <c r="IV382" s="1708"/>
    </row>
    <row r="383" spans="2:256" s="57" customFormat="1" x14ac:dyDescent="0.25">
      <c r="B383" s="1836"/>
      <c r="G383" s="1849"/>
      <c r="J383" s="1850"/>
      <c r="K383" s="1850"/>
      <c r="S383" s="1708"/>
      <c r="T383" s="1708"/>
      <c r="U383" s="1708"/>
      <c r="V383" s="1708"/>
      <c r="W383" s="1708"/>
      <c r="X383" s="1708"/>
      <c r="Y383" s="1708"/>
      <c r="Z383" s="1708"/>
      <c r="AA383" s="1708"/>
      <c r="AB383" s="1708"/>
      <c r="AC383" s="1708"/>
      <c r="AD383" s="1708"/>
      <c r="AE383" s="1708"/>
      <c r="AF383" s="1708"/>
      <c r="AG383" s="1708"/>
      <c r="AH383" s="1708"/>
      <c r="AI383" s="1708"/>
      <c r="AJ383" s="1708"/>
      <c r="AK383" s="1708"/>
      <c r="AL383" s="1708"/>
      <c r="AM383" s="1708"/>
      <c r="AN383" s="1708"/>
      <c r="AO383" s="1708"/>
      <c r="AP383" s="1708"/>
      <c r="AQ383" s="1708"/>
      <c r="AR383" s="1708"/>
      <c r="AS383" s="1708"/>
      <c r="AT383" s="1708"/>
      <c r="AU383" s="1708"/>
      <c r="AV383" s="1708"/>
      <c r="AW383" s="1708"/>
      <c r="AX383" s="1708"/>
      <c r="AY383" s="1708"/>
      <c r="AZ383" s="1708"/>
      <c r="BA383" s="1708"/>
      <c r="BB383" s="1708"/>
      <c r="BC383" s="1708"/>
      <c r="BD383" s="1708"/>
      <c r="BE383" s="1708"/>
      <c r="BF383" s="1708"/>
      <c r="BG383" s="1708"/>
      <c r="BH383" s="1708"/>
      <c r="BI383" s="1708"/>
      <c r="BJ383" s="1708"/>
      <c r="BK383" s="1708"/>
      <c r="BL383" s="1708"/>
      <c r="BM383" s="1708"/>
      <c r="BN383" s="1708"/>
      <c r="BO383" s="1708"/>
      <c r="BP383" s="1708"/>
      <c r="BQ383" s="1708"/>
      <c r="BR383" s="1708"/>
      <c r="BS383" s="1708"/>
      <c r="BT383" s="1708"/>
      <c r="BU383" s="1708"/>
      <c r="BV383" s="1708"/>
      <c r="BW383" s="1708"/>
      <c r="BX383" s="1708"/>
      <c r="BY383" s="1708"/>
      <c r="BZ383" s="1708"/>
      <c r="CA383" s="1708"/>
      <c r="CB383" s="1708"/>
      <c r="CC383" s="1708"/>
      <c r="CD383" s="1708"/>
      <c r="CE383" s="1708"/>
      <c r="CF383" s="1708"/>
      <c r="CG383" s="1708"/>
      <c r="CH383" s="1708"/>
      <c r="CI383" s="1708"/>
      <c r="CJ383" s="1708"/>
      <c r="CK383" s="1708"/>
      <c r="CL383" s="1708"/>
      <c r="CM383" s="1708"/>
      <c r="CN383" s="1708"/>
      <c r="CO383" s="1708"/>
      <c r="CP383" s="1708"/>
      <c r="CQ383" s="1708"/>
      <c r="CR383" s="1708"/>
      <c r="CS383" s="1708"/>
      <c r="CT383" s="1708"/>
      <c r="CU383" s="1708"/>
      <c r="CV383" s="1708"/>
      <c r="CW383" s="1708"/>
      <c r="CX383" s="1708"/>
      <c r="CY383" s="1708"/>
      <c r="CZ383" s="1708"/>
      <c r="DA383" s="1708"/>
      <c r="DB383" s="1708"/>
      <c r="DC383" s="1708"/>
      <c r="DD383" s="1708"/>
      <c r="DE383" s="1708"/>
      <c r="DF383" s="1708"/>
      <c r="DG383" s="1708"/>
      <c r="DH383" s="1708"/>
      <c r="DI383" s="1708"/>
      <c r="DJ383" s="1708"/>
      <c r="DK383" s="1708"/>
      <c r="DL383" s="1708"/>
      <c r="DM383" s="1708"/>
      <c r="DN383" s="1708"/>
      <c r="DO383" s="1708"/>
      <c r="DP383" s="1708"/>
      <c r="DQ383" s="1708"/>
      <c r="DR383" s="1708"/>
      <c r="DS383" s="1708"/>
      <c r="DT383" s="1708"/>
      <c r="DU383" s="1708"/>
      <c r="DV383" s="1708"/>
      <c r="DW383" s="1708"/>
      <c r="DX383" s="1708"/>
      <c r="DY383" s="1708"/>
      <c r="DZ383" s="1708"/>
      <c r="EA383" s="1708"/>
      <c r="EB383" s="1708"/>
      <c r="EC383" s="1708"/>
      <c r="ED383" s="1708"/>
      <c r="EE383" s="1708"/>
      <c r="EF383" s="1708"/>
      <c r="EG383" s="1708"/>
      <c r="EH383" s="1708"/>
      <c r="EI383" s="1708"/>
      <c r="EJ383" s="1708"/>
      <c r="EK383" s="1708"/>
      <c r="EL383" s="1708"/>
      <c r="EM383" s="1708"/>
      <c r="EN383" s="1708"/>
      <c r="EO383" s="1708"/>
      <c r="EP383" s="1708"/>
      <c r="EQ383" s="1708"/>
      <c r="ER383" s="1708"/>
      <c r="ES383" s="1708"/>
      <c r="ET383" s="1708"/>
      <c r="EU383" s="1708"/>
      <c r="EV383" s="1708"/>
      <c r="EW383" s="1708"/>
      <c r="EX383" s="1708"/>
      <c r="EY383" s="1708"/>
      <c r="EZ383" s="1708"/>
      <c r="FA383" s="1708"/>
      <c r="FB383" s="1708"/>
      <c r="FC383" s="1708"/>
      <c r="FD383" s="1708"/>
      <c r="FE383" s="1708"/>
      <c r="FF383" s="1708"/>
      <c r="FG383" s="1708"/>
      <c r="FH383" s="1708"/>
      <c r="FI383" s="1708"/>
      <c r="FJ383" s="1708"/>
      <c r="FK383" s="1708"/>
      <c r="FL383" s="1708"/>
      <c r="FM383" s="1708"/>
      <c r="FN383" s="1708"/>
      <c r="FO383" s="1708"/>
      <c r="FP383" s="1708"/>
      <c r="FQ383" s="1708"/>
      <c r="FR383" s="1708"/>
      <c r="FS383" s="1708"/>
      <c r="FT383" s="1708"/>
      <c r="FU383" s="1708"/>
      <c r="FV383" s="1708"/>
      <c r="FW383" s="1708"/>
      <c r="FX383" s="1708"/>
      <c r="FY383" s="1708"/>
      <c r="FZ383" s="1708"/>
      <c r="GA383" s="1708"/>
      <c r="GB383" s="1708"/>
      <c r="GC383" s="1708"/>
      <c r="GD383" s="1708"/>
      <c r="GE383" s="1708"/>
      <c r="GF383" s="1708"/>
      <c r="GG383" s="1708"/>
      <c r="GH383" s="1708"/>
      <c r="GI383" s="1708"/>
      <c r="GJ383" s="1708"/>
      <c r="GK383" s="1708"/>
      <c r="GL383" s="1708"/>
      <c r="GM383" s="1708"/>
      <c r="GN383" s="1708"/>
      <c r="GO383" s="1708"/>
      <c r="GP383" s="1708"/>
      <c r="GQ383" s="1708"/>
      <c r="GR383" s="1708"/>
      <c r="GS383" s="1708"/>
      <c r="GT383" s="1708"/>
      <c r="GU383" s="1708"/>
      <c r="GV383" s="1708"/>
      <c r="GW383" s="1708"/>
      <c r="GX383" s="1708"/>
      <c r="GY383" s="1708"/>
      <c r="GZ383" s="1708"/>
      <c r="HA383" s="1708"/>
      <c r="HB383" s="1708"/>
      <c r="HC383" s="1708"/>
      <c r="HD383" s="1708"/>
      <c r="HE383" s="1708"/>
      <c r="HF383" s="1708"/>
      <c r="HG383" s="1708"/>
      <c r="HH383" s="1708"/>
      <c r="HI383" s="1708"/>
      <c r="HJ383" s="1708"/>
      <c r="HK383" s="1708"/>
      <c r="HL383" s="1708"/>
      <c r="HM383" s="1708"/>
      <c r="HN383" s="1708"/>
      <c r="HO383" s="1708"/>
      <c r="HP383" s="1708"/>
      <c r="HQ383" s="1708"/>
      <c r="HR383" s="1708"/>
      <c r="HS383" s="1708"/>
      <c r="HT383" s="1708"/>
      <c r="HU383" s="1708"/>
      <c r="HV383" s="1708"/>
      <c r="HW383" s="1708"/>
      <c r="HX383" s="1708"/>
      <c r="HY383" s="1708"/>
      <c r="HZ383" s="1708"/>
      <c r="IA383" s="1708"/>
      <c r="IB383" s="1708"/>
      <c r="IC383" s="1708"/>
      <c r="ID383" s="1708"/>
      <c r="IE383" s="1708"/>
      <c r="IF383" s="1708"/>
      <c r="IG383" s="1708"/>
      <c r="IH383" s="1708"/>
      <c r="II383" s="1708"/>
      <c r="IJ383" s="1708"/>
      <c r="IK383" s="1708"/>
      <c r="IL383" s="1708"/>
      <c r="IM383" s="1708"/>
      <c r="IN383" s="1708"/>
      <c r="IO383" s="1708"/>
      <c r="IP383" s="1708"/>
      <c r="IQ383" s="1708"/>
      <c r="IR383" s="1708"/>
      <c r="IS383" s="1708"/>
      <c r="IT383" s="1708"/>
      <c r="IU383" s="1708"/>
      <c r="IV383" s="1708"/>
    </row>
    <row r="384" spans="2:256" s="57" customFormat="1" x14ac:dyDescent="0.25">
      <c r="B384" s="1836"/>
      <c r="G384" s="1849"/>
      <c r="J384" s="1850"/>
      <c r="K384" s="1850"/>
      <c r="S384" s="1708"/>
      <c r="T384" s="1708"/>
      <c r="U384" s="1708"/>
      <c r="V384" s="1708"/>
      <c r="W384" s="1708"/>
      <c r="X384" s="1708"/>
      <c r="Y384" s="1708"/>
      <c r="Z384" s="1708"/>
      <c r="AA384" s="1708"/>
      <c r="AB384" s="1708"/>
      <c r="AC384" s="1708"/>
      <c r="AD384" s="1708"/>
      <c r="AE384" s="1708"/>
      <c r="AF384" s="1708"/>
      <c r="AG384" s="1708"/>
      <c r="AH384" s="1708"/>
      <c r="AI384" s="1708"/>
      <c r="AJ384" s="1708"/>
      <c r="AK384" s="1708"/>
      <c r="AL384" s="1708"/>
      <c r="AM384" s="1708"/>
      <c r="AN384" s="1708"/>
      <c r="AO384" s="1708"/>
      <c r="AP384" s="1708"/>
      <c r="AQ384" s="1708"/>
      <c r="AR384" s="1708"/>
      <c r="AS384" s="1708"/>
      <c r="AT384" s="1708"/>
      <c r="AU384" s="1708"/>
      <c r="AV384" s="1708"/>
      <c r="AW384" s="1708"/>
      <c r="AX384" s="1708"/>
      <c r="AY384" s="1708"/>
      <c r="AZ384" s="1708"/>
      <c r="BA384" s="1708"/>
      <c r="BB384" s="1708"/>
      <c r="BC384" s="1708"/>
      <c r="BD384" s="1708"/>
      <c r="BE384" s="1708"/>
      <c r="BF384" s="1708"/>
      <c r="BG384" s="1708"/>
      <c r="BH384" s="1708"/>
      <c r="BI384" s="1708"/>
      <c r="BJ384" s="1708"/>
      <c r="BK384" s="1708"/>
      <c r="BL384" s="1708"/>
      <c r="BM384" s="1708"/>
      <c r="BN384" s="1708"/>
      <c r="BO384" s="1708"/>
      <c r="BP384" s="1708"/>
      <c r="BQ384" s="1708"/>
      <c r="BR384" s="1708"/>
      <c r="BS384" s="1708"/>
      <c r="BT384" s="1708"/>
      <c r="BU384" s="1708"/>
      <c r="BV384" s="1708"/>
      <c r="BW384" s="1708"/>
      <c r="BX384" s="1708"/>
      <c r="BY384" s="1708"/>
      <c r="BZ384" s="1708"/>
      <c r="CA384" s="1708"/>
      <c r="CB384" s="1708"/>
      <c r="CC384" s="1708"/>
      <c r="CD384" s="1708"/>
      <c r="CE384" s="1708"/>
      <c r="CF384" s="1708"/>
      <c r="CG384" s="1708"/>
      <c r="CH384" s="1708"/>
      <c r="CI384" s="1708"/>
      <c r="CJ384" s="1708"/>
      <c r="CK384" s="1708"/>
      <c r="CL384" s="1708"/>
      <c r="CM384" s="1708"/>
      <c r="CN384" s="1708"/>
      <c r="CO384" s="1708"/>
      <c r="CP384" s="1708"/>
      <c r="CQ384" s="1708"/>
      <c r="CR384" s="1708"/>
      <c r="CS384" s="1708"/>
      <c r="CT384" s="1708"/>
      <c r="CU384" s="1708"/>
      <c r="CV384" s="1708"/>
      <c r="CW384" s="1708"/>
      <c r="CX384" s="1708"/>
      <c r="CY384" s="1708"/>
      <c r="CZ384" s="1708"/>
      <c r="DA384" s="1708"/>
      <c r="DB384" s="1708"/>
      <c r="DC384" s="1708"/>
      <c r="DD384" s="1708"/>
      <c r="DE384" s="1708"/>
      <c r="DF384" s="1708"/>
      <c r="DG384" s="1708"/>
      <c r="DH384" s="1708"/>
      <c r="DI384" s="1708"/>
      <c r="DJ384" s="1708"/>
      <c r="DK384" s="1708"/>
      <c r="DL384" s="1708"/>
      <c r="DM384" s="1708"/>
      <c r="DN384" s="1708"/>
      <c r="DO384" s="1708"/>
      <c r="DP384" s="1708"/>
      <c r="DQ384" s="1708"/>
      <c r="DR384" s="1708"/>
      <c r="DS384" s="1708"/>
      <c r="DT384" s="1708"/>
      <c r="DU384" s="1708"/>
      <c r="DV384" s="1708"/>
      <c r="DW384" s="1708"/>
      <c r="DX384" s="1708"/>
      <c r="DY384" s="1708"/>
      <c r="DZ384" s="1708"/>
      <c r="EA384" s="1708"/>
      <c r="EB384" s="1708"/>
      <c r="EC384" s="1708"/>
      <c r="ED384" s="1708"/>
      <c r="EE384" s="1708"/>
      <c r="EF384" s="1708"/>
      <c r="EG384" s="1708"/>
      <c r="EH384" s="1708"/>
      <c r="EI384" s="1708"/>
      <c r="EJ384" s="1708"/>
      <c r="EK384" s="1708"/>
      <c r="EL384" s="1708"/>
      <c r="EM384" s="1708"/>
      <c r="EN384" s="1708"/>
      <c r="EO384" s="1708"/>
      <c r="EP384" s="1708"/>
      <c r="EQ384" s="1708"/>
      <c r="ER384" s="1708"/>
      <c r="ES384" s="1708"/>
      <c r="ET384" s="1708"/>
      <c r="EU384" s="1708"/>
      <c r="EV384" s="1708"/>
      <c r="EW384" s="1708"/>
      <c r="EX384" s="1708"/>
      <c r="EY384" s="1708"/>
      <c r="EZ384" s="1708"/>
      <c r="FA384" s="1708"/>
      <c r="FB384" s="1708"/>
      <c r="FC384" s="1708"/>
      <c r="FD384" s="1708"/>
      <c r="FE384" s="1708"/>
      <c r="FF384" s="1708"/>
      <c r="FG384" s="1708"/>
      <c r="FH384" s="1708"/>
      <c r="FI384" s="1708"/>
      <c r="FJ384" s="1708"/>
      <c r="FK384" s="1708"/>
      <c r="FL384" s="1708"/>
      <c r="FM384" s="1708"/>
      <c r="FN384" s="1708"/>
      <c r="FO384" s="1708"/>
      <c r="FP384" s="1708"/>
      <c r="FQ384" s="1708"/>
      <c r="FR384" s="1708"/>
      <c r="FS384" s="1708"/>
      <c r="FT384" s="1708"/>
      <c r="FU384" s="1708"/>
      <c r="FV384" s="1708"/>
      <c r="FW384" s="1708"/>
      <c r="FX384" s="1708"/>
      <c r="FY384" s="1708"/>
      <c r="FZ384" s="1708"/>
      <c r="GA384" s="1708"/>
      <c r="GB384" s="1708"/>
      <c r="GC384" s="1708"/>
      <c r="GD384" s="1708"/>
      <c r="GE384" s="1708"/>
      <c r="GF384" s="1708"/>
      <c r="GG384" s="1708"/>
      <c r="GH384" s="1708"/>
      <c r="GI384" s="1708"/>
      <c r="GJ384" s="1708"/>
      <c r="GK384" s="1708"/>
      <c r="GL384" s="1708"/>
      <c r="GM384" s="1708"/>
      <c r="GN384" s="1708"/>
      <c r="GO384" s="1708"/>
      <c r="GP384" s="1708"/>
      <c r="GQ384" s="1708"/>
      <c r="GR384" s="1708"/>
      <c r="GS384" s="1708"/>
      <c r="GT384" s="1708"/>
      <c r="GU384" s="1708"/>
      <c r="GV384" s="1708"/>
      <c r="GW384" s="1708"/>
      <c r="GX384" s="1708"/>
      <c r="GY384" s="1708"/>
      <c r="GZ384" s="1708"/>
      <c r="HA384" s="1708"/>
      <c r="HB384" s="1708"/>
      <c r="HC384" s="1708"/>
      <c r="HD384" s="1708"/>
      <c r="HE384" s="1708"/>
      <c r="HF384" s="1708"/>
      <c r="HG384" s="1708"/>
      <c r="HH384" s="1708"/>
      <c r="HI384" s="1708"/>
      <c r="HJ384" s="1708"/>
      <c r="HK384" s="1708"/>
      <c r="HL384" s="1708"/>
      <c r="HM384" s="1708"/>
      <c r="HN384" s="1708"/>
      <c r="HO384" s="1708"/>
      <c r="HP384" s="1708"/>
      <c r="HQ384" s="1708"/>
      <c r="HR384" s="1708"/>
      <c r="HS384" s="1708"/>
      <c r="HT384" s="1708"/>
      <c r="HU384" s="1708"/>
      <c r="HV384" s="1708"/>
      <c r="HW384" s="1708"/>
      <c r="HX384" s="1708"/>
      <c r="HY384" s="1708"/>
      <c r="HZ384" s="1708"/>
      <c r="IA384" s="1708"/>
      <c r="IB384" s="1708"/>
      <c r="IC384" s="1708"/>
      <c r="ID384" s="1708"/>
      <c r="IE384" s="1708"/>
      <c r="IF384" s="1708"/>
      <c r="IG384" s="1708"/>
      <c r="IH384" s="1708"/>
      <c r="II384" s="1708"/>
      <c r="IJ384" s="1708"/>
      <c r="IK384" s="1708"/>
      <c r="IL384" s="1708"/>
      <c r="IM384" s="1708"/>
      <c r="IN384" s="1708"/>
      <c r="IO384" s="1708"/>
      <c r="IP384" s="1708"/>
      <c r="IQ384" s="1708"/>
      <c r="IR384" s="1708"/>
      <c r="IS384" s="1708"/>
      <c r="IT384" s="1708"/>
      <c r="IU384" s="1708"/>
      <c r="IV384" s="1708"/>
    </row>
    <row r="385" spans="2:256" s="57" customFormat="1" x14ac:dyDescent="0.25">
      <c r="B385" s="1836"/>
      <c r="G385" s="1849"/>
      <c r="J385" s="1850"/>
      <c r="K385" s="1850"/>
      <c r="S385" s="1708"/>
      <c r="T385" s="1708"/>
      <c r="U385" s="1708"/>
      <c r="V385" s="1708"/>
      <c r="W385" s="1708"/>
      <c r="X385" s="1708"/>
      <c r="Y385" s="1708"/>
      <c r="Z385" s="1708"/>
      <c r="AA385" s="1708"/>
      <c r="AB385" s="1708"/>
      <c r="AC385" s="1708"/>
      <c r="AD385" s="1708"/>
      <c r="AE385" s="1708"/>
      <c r="AF385" s="1708"/>
      <c r="AG385" s="1708"/>
      <c r="AH385" s="1708"/>
      <c r="AI385" s="1708"/>
      <c r="AJ385" s="1708"/>
      <c r="AK385" s="1708"/>
      <c r="AL385" s="1708"/>
      <c r="AM385" s="1708"/>
      <c r="AN385" s="1708"/>
      <c r="AO385" s="1708"/>
      <c r="AP385" s="1708"/>
      <c r="AQ385" s="1708"/>
      <c r="AR385" s="1708"/>
      <c r="AS385" s="1708"/>
      <c r="AT385" s="1708"/>
      <c r="AU385" s="1708"/>
      <c r="AV385" s="1708"/>
      <c r="AW385" s="1708"/>
      <c r="AX385" s="1708"/>
      <c r="AY385" s="1708"/>
      <c r="AZ385" s="1708"/>
      <c r="BA385" s="1708"/>
      <c r="BB385" s="1708"/>
      <c r="BC385" s="1708"/>
      <c r="BD385" s="1708"/>
      <c r="BE385" s="1708"/>
      <c r="BF385" s="1708"/>
      <c r="BG385" s="1708"/>
      <c r="BH385" s="1708"/>
      <c r="BI385" s="1708"/>
      <c r="BJ385" s="1708"/>
      <c r="BK385" s="1708"/>
      <c r="BL385" s="1708"/>
      <c r="BM385" s="1708"/>
      <c r="BN385" s="1708"/>
      <c r="BO385" s="1708"/>
      <c r="BP385" s="1708"/>
      <c r="BQ385" s="1708"/>
      <c r="BR385" s="1708"/>
      <c r="BS385" s="1708"/>
      <c r="BT385" s="1708"/>
      <c r="BU385" s="1708"/>
      <c r="BV385" s="1708"/>
      <c r="BW385" s="1708"/>
      <c r="BX385" s="1708"/>
      <c r="BY385" s="1708"/>
      <c r="BZ385" s="1708"/>
      <c r="CA385" s="1708"/>
      <c r="CB385" s="1708"/>
      <c r="CC385" s="1708"/>
      <c r="CD385" s="1708"/>
      <c r="CE385" s="1708"/>
      <c r="CF385" s="1708"/>
      <c r="CG385" s="1708"/>
      <c r="CH385" s="1708"/>
      <c r="CI385" s="1708"/>
      <c r="CJ385" s="1708"/>
      <c r="CK385" s="1708"/>
      <c r="CL385" s="1708"/>
      <c r="CM385" s="1708"/>
      <c r="CN385" s="1708"/>
      <c r="CO385" s="1708"/>
      <c r="CP385" s="1708"/>
      <c r="CQ385" s="1708"/>
      <c r="CR385" s="1708"/>
      <c r="CS385" s="1708"/>
      <c r="CT385" s="1708"/>
      <c r="CU385" s="1708"/>
      <c r="CV385" s="1708"/>
      <c r="CW385" s="1708"/>
      <c r="CX385" s="1708"/>
      <c r="CY385" s="1708"/>
      <c r="CZ385" s="1708"/>
      <c r="DA385" s="1708"/>
      <c r="DB385" s="1708"/>
      <c r="DC385" s="1708"/>
      <c r="DD385" s="1708"/>
      <c r="DE385" s="1708"/>
      <c r="DF385" s="1708"/>
      <c r="DG385" s="1708"/>
      <c r="DH385" s="1708"/>
      <c r="DI385" s="1708"/>
      <c r="DJ385" s="1708"/>
      <c r="DK385" s="1708"/>
      <c r="DL385" s="1708"/>
      <c r="DM385" s="1708"/>
      <c r="DN385" s="1708"/>
      <c r="DO385" s="1708"/>
      <c r="DP385" s="1708"/>
      <c r="DQ385" s="1708"/>
      <c r="DR385" s="1708"/>
      <c r="DS385" s="1708"/>
      <c r="DT385" s="1708"/>
      <c r="DU385" s="1708"/>
      <c r="DV385" s="1708"/>
      <c r="DW385" s="1708"/>
      <c r="DX385" s="1708"/>
      <c r="DY385" s="1708"/>
      <c r="DZ385" s="1708"/>
      <c r="EA385" s="1708"/>
      <c r="EB385" s="1708"/>
      <c r="EC385" s="1708"/>
      <c r="ED385" s="1708"/>
      <c r="EE385" s="1708"/>
      <c r="EF385" s="1708"/>
      <c r="EG385" s="1708"/>
      <c r="EH385" s="1708"/>
      <c r="EI385" s="1708"/>
      <c r="EJ385" s="1708"/>
      <c r="EK385" s="1708"/>
      <c r="EL385" s="1708"/>
      <c r="EM385" s="1708"/>
      <c r="EN385" s="1708"/>
      <c r="EO385" s="1708"/>
      <c r="EP385" s="1708"/>
      <c r="EQ385" s="1708"/>
      <c r="ER385" s="1708"/>
      <c r="ES385" s="1708"/>
      <c r="ET385" s="1708"/>
      <c r="EU385" s="1708"/>
      <c r="EV385" s="1708"/>
      <c r="EW385" s="1708"/>
      <c r="EX385" s="1708"/>
      <c r="EY385" s="1708"/>
      <c r="EZ385" s="1708"/>
      <c r="FA385" s="1708"/>
      <c r="FB385" s="1708"/>
      <c r="FC385" s="1708"/>
      <c r="FD385" s="1708"/>
      <c r="FE385" s="1708"/>
      <c r="FF385" s="1708"/>
      <c r="FG385" s="1708"/>
      <c r="FH385" s="1708"/>
      <c r="FI385" s="1708"/>
      <c r="FJ385" s="1708"/>
      <c r="FK385" s="1708"/>
      <c r="FL385" s="1708"/>
      <c r="FM385" s="1708"/>
      <c r="FN385" s="1708"/>
      <c r="FO385" s="1708"/>
      <c r="FP385" s="1708"/>
      <c r="FQ385" s="1708"/>
      <c r="FR385" s="1708"/>
      <c r="FS385" s="1708"/>
      <c r="FT385" s="1708"/>
      <c r="FU385" s="1708"/>
      <c r="FV385" s="1708"/>
      <c r="FW385" s="1708"/>
      <c r="FX385" s="1708"/>
      <c r="FY385" s="1708"/>
      <c r="FZ385" s="1708"/>
      <c r="GA385" s="1708"/>
      <c r="GB385" s="1708"/>
      <c r="GC385" s="1708"/>
      <c r="GD385" s="1708"/>
      <c r="GE385" s="1708"/>
      <c r="GF385" s="1708"/>
      <c r="GG385" s="1708"/>
      <c r="GH385" s="1708"/>
      <c r="GI385" s="1708"/>
      <c r="GJ385" s="1708"/>
      <c r="GK385" s="1708"/>
      <c r="GL385" s="1708"/>
      <c r="GM385" s="1708"/>
      <c r="GN385" s="1708"/>
      <c r="GO385" s="1708"/>
      <c r="GP385" s="1708"/>
      <c r="GQ385" s="1708"/>
      <c r="GR385" s="1708"/>
      <c r="GS385" s="1708"/>
      <c r="GT385" s="1708"/>
      <c r="GU385" s="1708"/>
      <c r="GV385" s="1708"/>
      <c r="GW385" s="1708"/>
      <c r="GX385" s="1708"/>
      <c r="GY385" s="1708"/>
      <c r="GZ385" s="1708"/>
      <c r="HA385" s="1708"/>
      <c r="HB385" s="1708"/>
      <c r="HC385" s="1708"/>
      <c r="HD385" s="1708"/>
      <c r="HE385" s="1708"/>
      <c r="HF385" s="1708"/>
      <c r="HG385" s="1708"/>
      <c r="HH385" s="1708"/>
      <c r="HI385" s="1708"/>
      <c r="HJ385" s="1708"/>
      <c r="HK385" s="1708"/>
      <c r="HL385" s="1708"/>
      <c r="HM385" s="1708"/>
      <c r="HN385" s="1708"/>
      <c r="HO385" s="1708"/>
      <c r="HP385" s="1708"/>
      <c r="HQ385" s="1708"/>
      <c r="HR385" s="1708"/>
      <c r="HS385" s="1708"/>
      <c r="HT385" s="1708"/>
      <c r="HU385" s="1708"/>
      <c r="HV385" s="1708"/>
      <c r="HW385" s="1708"/>
      <c r="HX385" s="1708"/>
      <c r="HY385" s="1708"/>
      <c r="HZ385" s="1708"/>
      <c r="IA385" s="1708"/>
      <c r="IB385" s="1708"/>
      <c r="IC385" s="1708"/>
      <c r="ID385" s="1708"/>
      <c r="IE385" s="1708"/>
      <c r="IF385" s="1708"/>
      <c r="IG385" s="1708"/>
      <c r="IH385" s="1708"/>
      <c r="II385" s="1708"/>
      <c r="IJ385" s="1708"/>
      <c r="IK385" s="1708"/>
      <c r="IL385" s="1708"/>
      <c r="IM385" s="1708"/>
      <c r="IN385" s="1708"/>
      <c r="IO385" s="1708"/>
      <c r="IP385" s="1708"/>
      <c r="IQ385" s="1708"/>
      <c r="IR385" s="1708"/>
      <c r="IS385" s="1708"/>
      <c r="IT385" s="1708"/>
      <c r="IU385" s="1708"/>
      <c r="IV385" s="1708"/>
    </row>
    <row r="386" spans="2:256" s="57" customFormat="1" x14ac:dyDescent="0.25">
      <c r="B386" s="1836"/>
      <c r="G386" s="1849"/>
      <c r="J386" s="1850"/>
      <c r="K386" s="1850"/>
      <c r="S386" s="1708"/>
      <c r="T386" s="1708"/>
      <c r="U386" s="1708"/>
      <c r="V386" s="1708"/>
      <c r="W386" s="1708"/>
      <c r="X386" s="1708"/>
      <c r="Y386" s="1708"/>
      <c r="Z386" s="1708"/>
      <c r="AA386" s="1708"/>
      <c r="AB386" s="1708"/>
      <c r="AC386" s="1708"/>
      <c r="AD386" s="1708"/>
      <c r="AE386" s="1708"/>
      <c r="AF386" s="1708"/>
      <c r="AG386" s="1708"/>
      <c r="AH386" s="1708"/>
      <c r="AI386" s="1708"/>
      <c r="AJ386" s="1708"/>
      <c r="AK386" s="1708"/>
      <c r="AL386" s="1708"/>
      <c r="AM386" s="1708"/>
      <c r="AN386" s="1708"/>
      <c r="AO386" s="1708"/>
      <c r="AP386" s="1708"/>
      <c r="AQ386" s="1708"/>
      <c r="AR386" s="1708"/>
      <c r="AS386" s="1708"/>
      <c r="AT386" s="1708"/>
      <c r="AU386" s="1708"/>
      <c r="AV386" s="1708"/>
      <c r="AW386" s="1708"/>
      <c r="AX386" s="1708"/>
      <c r="AY386" s="1708"/>
      <c r="AZ386" s="1708"/>
      <c r="BA386" s="1708"/>
      <c r="BB386" s="1708"/>
      <c r="BC386" s="1708"/>
      <c r="BD386" s="1708"/>
      <c r="BE386" s="1708"/>
      <c r="BF386" s="1708"/>
      <c r="BG386" s="1708"/>
      <c r="BH386" s="1708"/>
      <c r="BI386" s="1708"/>
      <c r="BJ386" s="1708"/>
      <c r="BK386" s="1708"/>
      <c r="BL386" s="1708"/>
      <c r="BM386" s="1708"/>
      <c r="BN386" s="1708"/>
      <c r="BO386" s="1708"/>
      <c r="BP386" s="1708"/>
      <c r="BQ386" s="1708"/>
      <c r="BR386" s="1708"/>
      <c r="BS386" s="1708"/>
      <c r="BT386" s="1708"/>
      <c r="BU386" s="1708"/>
      <c r="BV386" s="1708"/>
      <c r="BW386" s="1708"/>
      <c r="BX386" s="1708"/>
      <c r="BY386" s="1708"/>
      <c r="BZ386" s="1708"/>
      <c r="CA386" s="1708"/>
      <c r="CB386" s="1708"/>
      <c r="CC386" s="1708"/>
      <c r="CD386" s="1708"/>
      <c r="CE386" s="1708"/>
      <c r="CF386" s="1708"/>
      <c r="CG386" s="1708"/>
      <c r="CH386" s="1708"/>
      <c r="CI386" s="1708"/>
      <c r="CJ386" s="1708"/>
      <c r="CK386" s="1708"/>
      <c r="CL386" s="1708"/>
      <c r="CM386" s="1708"/>
      <c r="CN386" s="1708"/>
      <c r="CO386" s="1708"/>
      <c r="CP386" s="1708"/>
      <c r="CQ386" s="1708"/>
      <c r="CR386" s="1708"/>
      <c r="CS386" s="1708"/>
      <c r="CT386" s="1708"/>
      <c r="CU386" s="1708"/>
      <c r="CV386" s="1708"/>
      <c r="CW386" s="1708"/>
      <c r="CX386" s="1708"/>
      <c r="CY386" s="1708"/>
      <c r="CZ386" s="1708"/>
      <c r="DA386" s="1708"/>
      <c r="DB386" s="1708"/>
      <c r="DC386" s="1708"/>
      <c r="DD386" s="1708"/>
      <c r="DE386" s="1708"/>
      <c r="DF386" s="1708"/>
      <c r="DG386" s="1708"/>
      <c r="DH386" s="1708"/>
      <c r="DI386" s="1708"/>
      <c r="DJ386" s="1708"/>
      <c r="DK386" s="1708"/>
      <c r="DL386" s="1708"/>
      <c r="DM386" s="1708"/>
      <c r="DN386" s="1708"/>
      <c r="DO386" s="1708"/>
      <c r="DP386" s="1708"/>
      <c r="DQ386" s="1708"/>
      <c r="DR386" s="1708"/>
      <c r="DS386" s="1708"/>
      <c r="DT386" s="1708"/>
      <c r="DU386" s="1708"/>
      <c r="DV386" s="1708"/>
      <c r="DW386" s="1708"/>
      <c r="DX386" s="1708"/>
      <c r="DY386" s="1708"/>
      <c r="DZ386" s="1708"/>
      <c r="EA386" s="1708"/>
      <c r="EB386" s="1708"/>
      <c r="EC386" s="1708"/>
      <c r="ED386" s="1708"/>
      <c r="EE386" s="1708"/>
      <c r="EF386" s="1708"/>
      <c r="EG386" s="1708"/>
      <c r="EH386" s="1708"/>
      <c r="EI386" s="1708"/>
      <c r="EJ386" s="1708"/>
      <c r="EK386" s="1708"/>
      <c r="EL386" s="1708"/>
      <c r="EM386" s="1708"/>
      <c r="EN386" s="1708"/>
      <c r="EO386" s="1708"/>
      <c r="EP386" s="1708"/>
      <c r="EQ386" s="1708"/>
      <c r="ER386" s="1708"/>
      <c r="ES386" s="1708"/>
      <c r="ET386" s="1708"/>
      <c r="EU386" s="1708"/>
      <c r="EV386" s="1708"/>
      <c r="EW386" s="1708"/>
      <c r="EX386" s="1708"/>
      <c r="EY386" s="1708"/>
      <c r="EZ386" s="1708"/>
      <c r="FA386" s="1708"/>
      <c r="FB386" s="1708"/>
      <c r="FC386" s="1708"/>
      <c r="FD386" s="1708"/>
      <c r="FE386" s="1708"/>
      <c r="FF386" s="1708"/>
      <c r="FG386" s="1708"/>
      <c r="FH386" s="1708"/>
      <c r="FI386" s="1708"/>
      <c r="FJ386" s="1708"/>
      <c r="FK386" s="1708"/>
      <c r="FL386" s="1708"/>
      <c r="FM386" s="1708"/>
      <c r="FN386" s="1708"/>
      <c r="FO386" s="1708"/>
      <c r="FP386" s="1708"/>
      <c r="FQ386" s="1708"/>
      <c r="FR386" s="1708"/>
      <c r="FS386" s="1708"/>
      <c r="FT386" s="1708"/>
      <c r="FU386" s="1708"/>
      <c r="FV386" s="1708"/>
      <c r="FW386" s="1708"/>
      <c r="FX386" s="1708"/>
      <c r="FY386" s="1708"/>
      <c r="FZ386" s="1708"/>
      <c r="GA386" s="1708"/>
      <c r="GB386" s="1708"/>
      <c r="GC386" s="1708"/>
      <c r="GD386" s="1708"/>
      <c r="GE386" s="1708"/>
      <c r="GF386" s="1708"/>
      <c r="GG386" s="1708"/>
      <c r="GH386" s="1708"/>
      <c r="GI386" s="1708"/>
      <c r="GJ386" s="1708"/>
      <c r="GK386" s="1708"/>
      <c r="GL386" s="1708"/>
      <c r="GM386" s="1708"/>
      <c r="GN386" s="1708"/>
      <c r="GO386" s="1708"/>
      <c r="GP386" s="1708"/>
      <c r="GQ386" s="1708"/>
      <c r="GR386" s="1708"/>
      <c r="GS386" s="1708"/>
      <c r="GT386" s="1708"/>
      <c r="GU386" s="1708"/>
      <c r="GV386" s="1708"/>
      <c r="GW386" s="1708"/>
      <c r="GX386" s="1708"/>
      <c r="GY386" s="1708"/>
      <c r="GZ386" s="1708"/>
      <c r="HA386" s="1708"/>
      <c r="HB386" s="1708"/>
      <c r="HC386" s="1708"/>
      <c r="HD386" s="1708"/>
      <c r="HE386" s="1708"/>
      <c r="HF386" s="1708"/>
      <c r="HG386" s="1708"/>
      <c r="HH386" s="1708"/>
      <c r="HI386" s="1708"/>
      <c r="HJ386" s="1708"/>
      <c r="HK386" s="1708"/>
      <c r="HL386" s="1708"/>
      <c r="HM386" s="1708"/>
      <c r="HN386" s="1708"/>
      <c r="HO386" s="1708"/>
      <c r="HP386" s="1708"/>
      <c r="HQ386" s="1708"/>
      <c r="HR386" s="1708"/>
      <c r="HS386" s="1708"/>
      <c r="HT386" s="1708"/>
      <c r="HU386" s="1708"/>
      <c r="HV386" s="1708"/>
      <c r="HW386" s="1708"/>
      <c r="HX386" s="1708"/>
      <c r="HY386" s="1708"/>
      <c r="HZ386" s="1708"/>
      <c r="IA386" s="1708"/>
      <c r="IB386" s="1708"/>
      <c r="IC386" s="1708"/>
      <c r="ID386" s="1708"/>
      <c r="IE386" s="1708"/>
      <c r="IF386" s="1708"/>
      <c r="IG386" s="1708"/>
      <c r="IH386" s="1708"/>
      <c r="II386" s="1708"/>
      <c r="IJ386" s="1708"/>
      <c r="IK386" s="1708"/>
      <c r="IL386" s="1708"/>
      <c r="IM386" s="1708"/>
      <c r="IN386" s="1708"/>
      <c r="IO386" s="1708"/>
      <c r="IP386" s="1708"/>
      <c r="IQ386" s="1708"/>
      <c r="IR386" s="1708"/>
      <c r="IS386" s="1708"/>
      <c r="IT386" s="1708"/>
      <c r="IU386" s="1708"/>
      <c r="IV386" s="1708"/>
    </row>
    <row r="387" spans="2:256" s="57" customFormat="1" x14ac:dyDescent="0.25">
      <c r="B387" s="1836"/>
      <c r="G387" s="1849"/>
      <c r="J387" s="1850"/>
      <c r="K387" s="1850"/>
      <c r="S387" s="1708"/>
      <c r="T387" s="1708"/>
      <c r="U387" s="1708"/>
      <c r="V387" s="1708"/>
      <c r="W387" s="1708"/>
      <c r="X387" s="1708"/>
      <c r="Y387" s="1708"/>
      <c r="Z387" s="1708"/>
      <c r="AA387" s="1708"/>
      <c r="AB387" s="1708"/>
      <c r="AC387" s="1708"/>
      <c r="AD387" s="1708"/>
      <c r="AE387" s="1708"/>
      <c r="AF387" s="1708"/>
      <c r="AG387" s="1708"/>
      <c r="AH387" s="1708"/>
      <c r="AI387" s="1708"/>
      <c r="AJ387" s="1708"/>
      <c r="AK387" s="1708"/>
      <c r="AL387" s="1708"/>
      <c r="AM387" s="1708"/>
      <c r="AN387" s="1708"/>
      <c r="AO387" s="1708"/>
      <c r="AP387" s="1708"/>
      <c r="AQ387" s="1708"/>
      <c r="AR387" s="1708"/>
      <c r="AS387" s="1708"/>
      <c r="AT387" s="1708"/>
      <c r="AU387" s="1708"/>
      <c r="AV387" s="1708"/>
      <c r="AW387" s="1708"/>
      <c r="AX387" s="1708"/>
      <c r="AY387" s="1708"/>
      <c r="AZ387" s="1708"/>
      <c r="BA387" s="1708"/>
      <c r="BB387" s="1708"/>
      <c r="BC387" s="1708"/>
      <c r="BD387" s="1708"/>
      <c r="BE387" s="1708"/>
      <c r="BF387" s="1708"/>
      <c r="BG387" s="1708"/>
      <c r="BH387" s="1708"/>
      <c r="BI387" s="1708"/>
      <c r="BJ387" s="1708"/>
      <c r="BK387" s="1708"/>
      <c r="BL387" s="1708"/>
      <c r="BM387" s="1708"/>
      <c r="BN387" s="1708"/>
      <c r="BO387" s="1708"/>
      <c r="BP387" s="1708"/>
      <c r="BQ387" s="1708"/>
      <c r="BR387" s="1708"/>
      <c r="BS387" s="1708"/>
      <c r="BT387" s="1708"/>
      <c r="BU387" s="1708"/>
      <c r="BV387" s="1708"/>
      <c r="BW387" s="1708"/>
      <c r="BX387" s="1708"/>
      <c r="BY387" s="1708"/>
      <c r="BZ387" s="1708"/>
      <c r="CA387" s="1708"/>
      <c r="CB387" s="1708"/>
      <c r="CC387" s="1708"/>
      <c r="CD387" s="1708"/>
      <c r="CE387" s="1708"/>
      <c r="CF387" s="1708"/>
      <c r="CG387" s="1708"/>
      <c r="CH387" s="1708"/>
      <c r="CI387" s="1708"/>
      <c r="CJ387" s="1708"/>
      <c r="CK387" s="1708"/>
      <c r="CL387" s="1708"/>
      <c r="CM387" s="1708"/>
      <c r="CN387" s="1708"/>
      <c r="CO387" s="1708"/>
      <c r="CP387" s="1708"/>
      <c r="CQ387" s="1708"/>
      <c r="CR387" s="1708"/>
      <c r="CS387" s="1708"/>
      <c r="CT387" s="1708"/>
      <c r="CU387" s="1708"/>
      <c r="CV387" s="1708"/>
      <c r="CW387" s="1708"/>
      <c r="CX387" s="1708"/>
      <c r="CY387" s="1708"/>
      <c r="CZ387" s="1708"/>
      <c r="DA387" s="1708"/>
      <c r="DB387" s="1708"/>
      <c r="DC387" s="1708"/>
      <c r="DD387" s="1708"/>
      <c r="DE387" s="1708"/>
      <c r="DF387" s="1708"/>
      <c r="DG387" s="1708"/>
      <c r="DH387" s="1708"/>
      <c r="DI387" s="1708"/>
      <c r="DJ387" s="1708"/>
      <c r="DK387" s="1708"/>
      <c r="DL387" s="1708"/>
      <c r="DM387" s="1708"/>
      <c r="DN387" s="1708"/>
      <c r="DO387" s="1708"/>
      <c r="DP387" s="1708"/>
      <c r="DQ387" s="1708"/>
      <c r="DR387" s="1708"/>
      <c r="DS387" s="1708"/>
      <c r="DT387" s="1708"/>
      <c r="DU387" s="1708"/>
      <c r="DV387" s="1708"/>
      <c r="DW387" s="1708"/>
      <c r="DX387" s="1708"/>
      <c r="DY387" s="1708"/>
      <c r="DZ387" s="1708"/>
      <c r="EA387" s="1708"/>
      <c r="EB387" s="1708"/>
      <c r="EC387" s="1708"/>
      <c r="ED387" s="1708"/>
      <c r="EE387" s="1708"/>
      <c r="EF387" s="1708"/>
      <c r="EG387" s="1708"/>
      <c r="EH387" s="1708"/>
      <c r="EI387" s="1708"/>
      <c r="EJ387" s="1708"/>
      <c r="EK387" s="1708"/>
      <c r="EL387" s="1708"/>
      <c r="EM387" s="1708"/>
      <c r="EN387" s="1708"/>
      <c r="EO387" s="1708"/>
      <c r="EP387" s="1708"/>
      <c r="EQ387" s="1708"/>
      <c r="ER387" s="1708"/>
      <c r="ES387" s="1708"/>
      <c r="ET387" s="1708"/>
      <c r="EU387" s="1708"/>
      <c r="EV387" s="1708"/>
      <c r="EW387" s="1708"/>
      <c r="EX387" s="1708"/>
      <c r="EY387" s="1708"/>
      <c r="EZ387" s="1708"/>
      <c r="FA387" s="1708"/>
      <c r="FB387" s="1708"/>
      <c r="FC387" s="1708"/>
      <c r="FD387" s="1708"/>
      <c r="FE387" s="1708"/>
      <c r="FF387" s="1708"/>
      <c r="FG387" s="1708"/>
      <c r="FH387" s="1708"/>
      <c r="FI387" s="1708"/>
      <c r="FJ387" s="1708"/>
      <c r="FK387" s="1708"/>
      <c r="FL387" s="1708"/>
      <c r="FM387" s="1708"/>
      <c r="FN387" s="1708"/>
      <c r="FO387" s="1708"/>
      <c r="FP387" s="1708"/>
      <c r="FQ387" s="1708"/>
      <c r="FR387" s="1708"/>
      <c r="FS387" s="1708"/>
      <c r="FT387" s="1708"/>
      <c r="FU387" s="1708"/>
      <c r="FV387" s="1708"/>
      <c r="FW387" s="1708"/>
      <c r="FX387" s="1708"/>
      <c r="FY387" s="1708"/>
      <c r="FZ387" s="1708"/>
      <c r="GA387" s="1708"/>
      <c r="GB387" s="1708"/>
      <c r="GC387" s="1708"/>
      <c r="GD387" s="1708"/>
      <c r="GE387" s="1708"/>
      <c r="GF387" s="1708"/>
      <c r="GG387" s="1708"/>
      <c r="GH387" s="1708"/>
      <c r="GI387" s="1708"/>
      <c r="GJ387" s="1708"/>
      <c r="GK387" s="1708"/>
      <c r="GL387" s="1708"/>
      <c r="GM387" s="1708"/>
      <c r="GN387" s="1708"/>
      <c r="GO387" s="1708"/>
      <c r="GP387" s="1708"/>
      <c r="GQ387" s="1708"/>
      <c r="GR387" s="1708"/>
      <c r="GS387" s="1708"/>
      <c r="GT387" s="1708"/>
      <c r="GU387" s="1708"/>
      <c r="GV387" s="1708"/>
      <c r="GW387" s="1708"/>
      <c r="GX387" s="1708"/>
      <c r="GY387" s="1708"/>
      <c r="GZ387" s="1708"/>
      <c r="HA387" s="1708"/>
      <c r="HB387" s="1708"/>
      <c r="HC387" s="1708"/>
      <c r="HD387" s="1708"/>
      <c r="HE387" s="1708"/>
      <c r="HF387" s="1708"/>
      <c r="HG387" s="1708"/>
      <c r="HH387" s="1708"/>
      <c r="HI387" s="1708"/>
      <c r="HJ387" s="1708"/>
      <c r="HK387" s="1708"/>
      <c r="HL387" s="1708"/>
      <c r="HM387" s="1708"/>
      <c r="HN387" s="1708"/>
      <c r="HO387" s="1708"/>
      <c r="HP387" s="1708"/>
      <c r="HQ387" s="1708"/>
      <c r="HR387" s="1708"/>
      <c r="HS387" s="1708"/>
      <c r="HT387" s="1708"/>
      <c r="HU387" s="1708"/>
      <c r="HV387" s="1708"/>
      <c r="HW387" s="1708"/>
      <c r="HX387" s="1708"/>
      <c r="HY387" s="1708"/>
      <c r="HZ387" s="1708"/>
      <c r="IA387" s="1708"/>
      <c r="IB387" s="1708"/>
      <c r="IC387" s="1708"/>
      <c r="ID387" s="1708"/>
      <c r="IE387" s="1708"/>
      <c r="IF387" s="1708"/>
      <c r="IG387" s="1708"/>
      <c r="IH387" s="1708"/>
      <c r="II387" s="1708"/>
      <c r="IJ387" s="1708"/>
      <c r="IK387" s="1708"/>
      <c r="IL387" s="1708"/>
      <c r="IM387" s="1708"/>
      <c r="IN387" s="1708"/>
      <c r="IO387" s="1708"/>
      <c r="IP387" s="1708"/>
      <c r="IQ387" s="1708"/>
      <c r="IR387" s="1708"/>
      <c r="IS387" s="1708"/>
      <c r="IT387" s="1708"/>
      <c r="IU387" s="1708"/>
      <c r="IV387" s="1708"/>
    </row>
    <row r="388" spans="2:256" s="57" customFormat="1" x14ac:dyDescent="0.25">
      <c r="B388" s="1836"/>
      <c r="G388" s="1849"/>
      <c r="J388" s="1850"/>
      <c r="K388" s="1850"/>
      <c r="S388" s="1708"/>
      <c r="T388" s="1708"/>
      <c r="U388" s="1708"/>
      <c r="V388" s="1708"/>
      <c r="W388" s="1708"/>
      <c r="X388" s="1708"/>
      <c r="Y388" s="1708"/>
      <c r="Z388" s="1708"/>
      <c r="AA388" s="1708"/>
      <c r="AB388" s="1708"/>
      <c r="AC388" s="1708"/>
      <c r="AD388" s="1708"/>
      <c r="AE388" s="1708"/>
      <c r="AF388" s="1708"/>
      <c r="AG388" s="1708"/>
      <c r="AH388" s="1708"/>
      <c r="AI388" s="1708"/>
      <c r="AJ388" s="1708"/>
      <c r="AK388" s="1708"/>
      <c r="AL388" s="1708"/>
      <c r="AM388" s="1708"/>
      <c r="AN388" s="1708"/>
      <c r="AO388" s="1708"/>
      <c r="AP388" s="1708"/>
      <c r="AQ388" s="1708"/>
      <c r="AR388" s="1708"/>
      <c r="AS388" s="1708"/>
      <c r="AT388" s="1708"/>
      <c r="AU388" s="1708"/>
      <c r="AV388" s="1708"/>
      <c r="AW388" s="1708"/>
      <c r="AX388" s="1708"/>
      <c r="AY388" s="1708"/>
      <c r="AZ388" s="1708"/>
      <c r="BA388" s="1708"/>
      <c r="BB388" s="1708"/>
      <c r="BC388" s="1708"/>
      <c r="BD388" s="1708"/>
      <c r="BE388" s="1708"/>
      <c r="BF388" s="1708"/>
      <c r="BG388" s="1708"/>
      <c r="BH388" s="1708"/>
      <c r="BI388" s="1708"/>
      <c r="BJ388" s="1708"/>
      <c r="BK388" s="1708"/>
      <c r="BL388" s="1708"/>
      <c r="BM388" s="1708"/>
      <c r="BN388" s="1708"/>
      <c r="BO388" s="1708"/>
      <c r="BP388" s="1708"/>
      <c r="BQ388" s="1708"/>
      <c r="BR388" s="1708"/>
      <c r="BS388" s="1708"/>
      <c r="BT388" s="1708"/>
      <c r="BU388" s="1708"/>
      <c r="BV388" s="1708"/>
      <c r="BW388" s="1708"/>
      <c r="BX388" s="1708"/>
      <c r="BY388" s="1708"/>
      <c r="BZ388" s="1708"/>
      <c r="CA388" s="1708"/>
      <c r="CB388" s="1708"/>
      <c r="CC388" s="1708"/>
      <c r="CD388" s="1708"/>
      <c r="CE388" s="1708"/>
      <c r="CF388" s="1708"/>
      <c r="CG388" s="1708"/>
      <c r="CH388" s="1708"/>
      <c r="CI388" s="1708"/>
      <c r="CJ388" s="1708"/>
      <c r="CK388" s="1708"/>
      <c r="CL388" s="1708"/>
      <c r="CM388" s="1708"/>
      <c r="CN388" s="1708"/>
      <c r="CO388" s="1708"/>
      <c r="CP388" s="1708"/>
      <c r="CQ388" s="1708"/>
      <c r="CR388" s="1708"/>
      <c r="CS388" s="1708"/>
      <c r="CT388" s="1708"/>
      <c r="CU388" s="1708"/>
      <c r="CV388" s="1708"/>
      <c r="CW388" s="1708"/>
      <c r="CX388" s="1708"/>
      <c r="CY388" s="1708"/>
      <c r="CZ388" s="1708"/>
      <c r="DA388" s="1708"/>
      <c r="DB388" s="1708"/>
      <c r="DC388" s="1708"/>
      <c r="DD388" s="1708"/>
      <c r="DE388" s="1708"/>
      <c r="DF388" s="1708"/>
      <c r="DG388" s="1708"/>
      <c r="DH388" s="1708"/>
      <c r="DI388" s="1708"/>
      <c r="DJ388" s="1708"/>
      <c r="DK388" s="1708"/>
      <c r="DL388" s="1708"/>
      <c r="DM388" s="1708"/>
      <c r="DN388" s="1708"/>
      <c r="DO388" s="1708"/>
      <c r="DP388" s="1708"/>
      <c r="DQ388" s="1708"/>
      <c r="DR388" s="1708"/>
      <c r="DS388" s="1708"/>
      <c r="DT388" s="1708"/>
      <c r="DU388" s="1708"/>
      <c r="DV388" s="1708"/>
      <c r="DW388" s="1708"/>
      <c r="DX388" s="1708"/>
      <c r="DY388" s="1708"/>
      <c r="DZ388" s="1708"/>
      <c r="EA388" s="1708"/>
      <c r="EB388" s="1708"/>
      <c r="EC388" s="1708"/>
      <c r="ED388" s="1708"/>
      <c r="EE388" s="1708"/>
      <c r="EF388" s="1708"/>
      <c r="EG388" s="1708"/>
      <c r="EH388" s="1708"/>
      <c r="EI388" s="1708"/>
      <c r="EJ388" s="1708"/>
      <c r="EK388" s="1708"/>
      <c r="EL388" s="1708"/>
      <c r="EM388" s="1708"/>
      <c r="EN388" s="1708"/>
      <c r="EO388" s="1708"/>
      <c r="EP388" s="1708"/>
      <c r="EQ388" s="1708"/>
      <c r="ER388" s="1708"/>
      <c r="ES388" s="1708"/>
      <c r="ET388" s="1708"/>
      <c r="EU388" s="1708"/>
      <c r="EV388" s="1708"/>
      <c r="EW388" s="1708"/>
      <c r="EX388" s="1708"/>
      <c r="EY388" s="1708"/>
      <c r="EZ388" s="1708"/>
      <c r="FA388" s="1708"/>
      <c r="FB388" s="1708"/>
      <c r="FC388" s="1708"/>
      <c r="FD388" s="1708"/>
      <c r="FE388" s="1708"/>
      <c r="FF388" s="1708"/>
      <c r="FG388" s="1708"/>
      <c r="FH388" s="1708"/>
      <c r="FI388" s="1708"/>
      <c r="FJ388" s="1708"/>
      <c r="FK388" s="1708"/>
      <c r="FL388" s="1708"/>
      <c r="FM388" s="1708"/>
      <c r="FN388" s="1708"/>
      <c r="FO388" s="1708"/>
      <c r="FP388" s="1708"/>
      <c r="FQ388" s="1708"/>
      <c r="FR388" s="1708"/>
      <c r="FS388" s="1708"/>
      <c r="FT388" s="1708"/>
      <c r="FU388" s="1708"/>
      <c r="FV388" s="1708"/>
      <c r="FW388" s="1708"/>
      <c r="FX388" s="1708"/>
      <c r="FY388" s="1708"/>
      <c r="FZ388" s="1708"/>
      <c r="GA388" s="1708"/>
      <c r="GB388" s="1708"/>
      <c r="GC388" s="1708"/>
      <c r="GD388" s="1708"/>
      <c r="GE388" s="1708"/>
      <c r="GF388" s="1708"/>
      <c r="GG388" s="1708"/>
      <c r="GH388" s="1708"/>
      <c r="GI388" s="1708"/>
      <c r="GJ388" s="1708"/>
      <c r="GK388" s="1708"/>
      <c r="GL388" s="1708"/>
      <c r="GM388" s="1708"/>
      <c r="GN388" s="1708"/>
      <c r="GO388" s="1708"/>
      <c r="GP388" s="1708"/>
      <c r="GQ388" s="1708"/>
      <c r="GR388" s="1708"/>
      <c r="GS388" s="1708"/>
      <c r="GT388" s="1708"/>
      <c r="GU388" s="1708"/>
      <c r="GV388" s="1708"/>
      <c r="GW388" s="1708"/>
      <c r="GX388" s="1708"/>
      <c r="GY388" s="1708"/>
      <c r="GZ388" s="1708"/>
      <c r="HA388" s="1708"/>
      <c r="HB388" s="1708"/>
      <c r="HC388" s="1708"/>
      <c r="HD388" s="1708"/>
      <c r="HE388" s="1708"/>
      <c r="HF388" s="1708"/>
      <c r="HG388" s="1708"/>
      <c r="HH388" s="1708"/>
      <c r="HI388" s="1708"/>
      <c r="HJ388" s="1708"/>
      <c r="HK388" s="1708"/>
      <c r="HL388" s="1708"/>
      <c r="HM388" s="1708"/>
      <c r="HN388" s="1708"/>
      <c r="HO388" s="1708"/>
      <c r="HP388" s="1708"/>
      <c r="HQ388" s="1708"/>
      <c r="HR388" s="1708"/>
      <c r="HS388" s="1708"/>
      <c r="HT388" s="1708"/>
      <c r="HU388" s="1708"/>
      <c r="HV388" s="1708"/>
      <c r="HW388" s="1708"/>
      <c r="HX388" s="1708"/>
      <c r="HY388" s="1708"/>
      <c r="HZ388" s="1708"/>
      <c r="IA388" s="1708"/>
      <c r="IB388" s="1708"/>
      <c r="IC388" s="1708"/>
      <c r="ID388" s="1708"/>
      <c r="IE388" s="1708"/>
      <c r="IF388" s="1708"/>
      <c r="IG388" s="1708"/>
      <c r="IH388" s="1708"/>
      <c r="II388" s="1708"/>
      <c r="IJ388" s="1708"/>
      <c r="IK388" s="1708"/>
      <c r="IL388" s="1708"/>
      <c r="IM388" s="1708"/>
      <c r="IN388" s="1708"/>
      <c r="IO388" s="1708"/>
      <c r="IP388" s="1708"/>
      <c r="IQ388" s="1708"/>
      <c r="IR388" s="1708"/>
      <c r="IS388" s="1708"/>
      <c r="IT388" s="1708"/>
      <c r="IU388" s="1708"/>
      <c r="IV388" s="1708"/>
    </row>
    <row r="389" spans="2:256" s="57" customFormat="1" x14ac:dyDescent="0.25">
      <c r="B389" s="1836"/>
      <c r="G389" s="1849"/>
      <c r="J389" s="1850"/>
      <c r="K389" s="1850"/>
      <c r="S389" s="1708"/>
      <c r="T389" s="1708"/>
      <c r="U389" s="1708"/>
      <c r="V389" s="1708"/>
      <c r="W389" s="1708"/>
      <c r="X389" s="1708"/>
      <c r="Y389" s="1708"/>
      <c r="Z389" s="1708"/>
      <c r="AA389" s="1708"/>
      <c r="AB389" s="1708"/>
      <c r="AC389" s="1708"/>
      <c r="AD389" s="1708"/>
      <c r="AE389" s="1708"/>
      <c r="AF389" s="1708"/>
      <c r="AG389" s="1708"/>
      <c r="AH389" s="1708"/>
      <c r="AI389" s="1708"/>
      <c r="AJ389" s="1708"/>
      <c r="AK389" s="1708"/>
      <c r="AL389" s="1708"/>
      <c r="AM389" s="1708"/>
      <c r="AN389" s="1708"/>
      <c r="AO389" s="1708"/>
      <c r="AP389" s="1708"/>
      <c r="AQ389" s="1708"/>
      <c r="AR389" s="1708"/>
      <c r="AS389" s="1708"/>
      <c r="AT389" s="1708"/>
      <c r="AU389" s="1708"/>
      <c r="AV389" s="1708"/>
      <c r="AW389" s="1708"/>
      <c r="AX389" s="1708"/>
      <c r="AY389" s="1708"/>
      <c r="AZ389" s="1708"/>
      <c r="BA389" s="1708"/>
      <c r="BB389" s="1708"/>
      <c r="BC389" s="1708"/>
      <c r="BD389" s="1708"/>
      <c r="BE389" s="1708"/>
      <c r="BF389" s="1708"/>
      <c r="BG389" s="1708"/>
      <c r="BH389" s="1708"/>
      <c r="BI389" s="1708"/>
      <c r="BJ389" s="1708"/>
      <c r="BK389" s="1708"/>
      <c r="BL389" s="1708"/>
      <c r="BM389" s="1708"/>
      <c r="BN389" s="1708"/>
      <c r="BO389" s="1708"/>
      <c r="BP389" s="1708"/>
      <c r="BQ389" s="1708"/>
      <c r="BR389" s="1708"/>
      <c r="BS389" s="1708"/>
      <c r="BT389" s="1708"/>
      <c r="BU389" s="1708"/>
      <c r="BV389" s="1708"/>
      <c r="BW389" s="1708"/>
      <c r="BX389" s="1708"/>
      <c r="BY389" s="1708"/>
      <c r="BZ389" s="1708"/>
      <c r="CA389" s="1708"/>
      <c r="CB389" s="1708"/>
      <c r="CC389" s="1708"/>
      <c r="CD389" s="1708"/>
      <c r="CE389" s="1708"/>
      <c r="CF389" s="1708"/>
      <c r="CG389" s="1708"/>
      <c r="CH389" s="1708"/>
      <c r="CI389" s="1708"/>
      <c r="CJ389" s="1708"/>
      <c r="CK389" s="1708"/>
      <c r="CL389" s="1708"/>
      <c r="CM389" s="1708"/>
      <c r="CN389" s="1708"/>
      <c r="CO389" s="1708"/>
      <c r="CP389" s="1708"/>
      <c r="CQ389" s="1708"/>
      <c r="CR389" s="1708"/>
      <c r="CS389" s="1708"/>
      <c r="CT389" s="1708"/>
      <c r="CU389" s="1708"/>
      <c r="CV389" s="1708"/>
      <c r="CW389" s="1708"/>
      <c r="CX389" s="1708"/>
      <c r="CY389" s="1708"/>
      <c r="CZ389" s="1708"/>
      <c r="DA389" s="1708"/>
      <c r="DB389" s="1708"/>
      <c r="DC389" s="1708"/>
      <c r="DD389" s="1708"/>
      <c r="DE389" s="1708"/>
      <c r="DF389" s="1708"/>
      <c r="DG389" s="1708"/>
      <c r="DH389" s="1708"/>
      <c r="DI389" s="1708"/>
      <c r="DJ389" s="1708"/>
      <c r="DK389" s="1708"/>
      <c r="DL389" s="1708"/>
      <c r="DM389" s="1708"/>
      <c r="DN389" s="1708"/>
      <c r="DO389" s="1708"/>
      <c r="DP389" s="1708"/>
      <c r="DQ389" s="1708"/>
      <c r="DR389" s="1708"/>
      <c r="DS389" s="1708"/>
      <c r="DT389" s="1708"/>
      <c r="DU389" s="1708"/>
      <c r="DV389" s="1708"/>
      <c r="DW389" s="1708"/>
      <c r="DX389" s="1708"/>
      <c r="DY389" s="1708"/>
      <c r="DZ389" s="1708"/>
      <c r="EA389" s="1708"/>
      <c r="EB389" s="1708"/>
      <c r="EC389" s="1708"/>
      <c r="ED389" s="1708"/>
      <c r="EE389" s="1708"/>
      <c r="EF389" s="1708"/>
      <c r="EG389" s="1708"/>
      <c r="EH389" s="1708"/>
      <c r="EI389" s="1708"/>
      <c r="EJ389" s="1708"/>
      <c r="EK389" s="1708"/>
      <c r="EL389" s="1708"/>
      <c r="EM389" s="1708"/>
      <c r="EN389" s="1708"/>
      <c r="EO389" s="1708"/>
      <c r="EP389" s="1708"/>
      <c r="EQ389" s="1708"/>
      <c r="ER389" s="1708"/>
      <c r="ES389" s="1708"/>
      <c r="ET389" s="1708"/>
      <c r="EU389" s="1708"/>
      <c r="EV389" s="1708"/>
      <c r="EW389" s="1708"/>
      <c r="EX389" s="1708"/>
      <c r="EY389" s="1708"/>
      <c r="EZ389" s="1708"/>
      <c r="FA389" s="1708"/>
      <c r="FB389" s="1708"/>
      <c r="FC389" s="1708"/>
      <c r="FD389" s="1708"/>
      <c r="FE389" s="1708"/>
      <c r="FF389" s="1708"/>
      <c r="FG389" s="1708"/>
      <c r="FH389" s="1708"/>
      <c r="FI389" s="1708"/>
      <c r="FJ389" s="1708"/>
      <c r="FK389" s="1708"/>
      <c r="FL389" s="1708"/>
      <c r="FM389" s="1708"/>
      <c r="FN389" s="1708"/>
      <c r="FO389" s="1708"/>
      <c r="FP389" s="1708"/>
      <c r="FQ389" s="1708"/>
      <c r="FR389" s="1708"/>
      <c r="FS389" s="1708"/>
      <c r="FT389" s="1708"/>
      <c r="FU389" s="1708"/>
      <c r="FV389" s="1708"/>
      <c r="FW389" s="1708"/>
      <c r="FX389" s="1708"/>
      <c r="FY389" s="1708"/>
      <c r="FZ389" s="1708"/>
      <c r="GA389" s="1708"/>
      <c r="GB389" s="1708"/>
      <c r="GC389" s="1708"/>
      <c r="GD389" s="1708"/>
      <c r="GE389" s="1708"/>
      <c r="GF389" s="1708"/>
      <c r="GG389" s="1708"/>
      <c r="GH389" s="1708"/>
      <c r="GI389" s="1708"/>
      <c r="GJ389" s="1708"/>
      <c r="GK389" s="1708"/>
      <c r="GL389" s="1708"/>
      <c r="GM389" s="1708"/>
      <c r="GN389" s="1708"/>
      <c r="GO389" s="1708"/>
      <c r="GP389" s="1708"/>
      <c r="GQ389" s="1708"/>
      <c r="GR389" s="1708"/>
      <c r="GS389" s="1708"/>
      <c r="GT389" s="1708"/>
      <c r="GU389" s="1708"/>
      <c r="GV389" s="1708"/>
      <c r="GW389" s="1708"/>
      <c r="GX389" s="1708"/>
      <c r="GY389" s="1708"/>
      <c r="GZ389" s="1708"/>
      <c r="HA389" s="1708"/>
      <c r="HB389" s="1708"/>
      <c r="HC389" s="1708"/>
      <c r="HD389" s="1708"/>
      <c r="HE389" s="1708"/>
      <c r="HF389" s="1708"/>
      <c r="HG389" s="1708"/>
      <c r="HH389" s="1708"/>
      <c r="HI389" s="1708"/>
      <c r="HJ389" s="1708"/>
      <c r="HK389" s="1708"/>
      <c r="HL389" s="1708"/>
      <c r="HM389" s="1708"/>
      <c r="HN389" s="1708"/>
      <c r="HO389" s="1708"/>
      <c r="HP389" s="1708"/>
      <c r="HQ389" s="1708"/>
      <c r="HR389" s="1708"/>
      <c r="HS389" s="1708"/>
      <c r="HT389" s="1708"/>
      <c r="HU389" s="1708"/>
      <c r="HV389" s="1708"/>
      <c r="HW389" s="1708"/>
      <c r="HX389" s="1708"/>
      <c r="HY389" s="1708"/>
      <c r="HZ389" s="1708"/>
      <c r="IA389" s="1708"/>
      <c r="IB389" s="1708"/>
      <c r="IC389" s="1708"/>
      <c r="ID389" s="1708"/>
      <c r="IE389" s="1708"/>
      <c r="IF389" s="1708"/>
      <c r="IG389" s="1708"/>
      <c r="IH389" s="1708"/>
      <c r="II389" s="1708"/>
      <c r="IJ389" s="1708"/>
      <c r="IK389" s="1708"/>
      <c r="IL389" s="1708"/>
      <c r="IM389" s="1708"/>
      <c r="IN389" s="1708"/>
      <c r="IO389" s="1708"/>
      <c r="IP389" s="1708"/>
      <c r="IQ389" s="1708"/>
      <c r="IR389" s="1708"/>
      <c r="IS389" s="1708"/>
      <c r="IT389" s="1708"/>
      <c r="IU389" s="1708"/>
      <c r="IV389" s="1708"/>
    </row>
    <row r="390" spans="2:256" s="57" customFormat="1" x14ac:dyDescent="0.25">
      <c r="B390" s="1836"/>
      <c r="G390" s="1849"/>
      <c r="J390" s="1850"/>
      <c r="K390" s="1850"/>
      <c r="S390" s="1708"/>
      <c r="T390" s="1708"/>
      <c r="U390" s="1708"/>
      <c r="V390" s="1708"/>
      <c r="W390" s="1708"/>
      <c r="X390" s="1708"/>
      <c r="Y390" s="1708"/>
      <c r="Z390" s="1708"/>
      <c r="AA390" s="1708"/>
      <c r="AB390" s="1708"/>
      <c r="AC390" s="1708"/>
      <c r="AD390" s="1708"/>
      <c r="AE390" s="1708"/>
      <c r="AF390" s="1708"/>
      <c r="AG390" s="1708"/>
      <c r="AH390" s="1708"/>
      <c r="AI390" s="1708"/>
      <c r="AJ390" s="1708"/>
      <c r="AK390" s="1708"/>
      <c r="AL390" s="1708"/>
      <c r="AM390" s="1708"/>
      <c r="AN390" s="1708"/>
      <c r="AO390" s="1708"/>
      <c r="AP390" s="1708"/>
      <c r="AQ390" s="1708"/>
      <c r="AR390" s="1708"/>
      <c r="AS390" s="1708"/>
      <c r="AT390" s="1708"/>
      <c r="AU390" s="1708"/>
      <c r="AV390" s="1708"/>
      <c r="AW390" s="1708"/>
      <c r="AX390" s="1708"/>
      <c r="AY390" s="1708"/>
      <c r="AZ390" s="1708"/>
      <c r="BA390" s="1708"/>
      <c r="BB390" s="1708"/>
      <c r="BC390" s="1708"/>
      <c r="BD390" s="1708"/>
      <c r="BE390" s="1708"/>
      <c r="BF390" s="1708"/>
      <c r="BG390" s="1708"/>
      <c r="BH390" s="1708"/>
      <c r="BI390" s="1708"/>
      <c r="BJ390" s="1708"/>
      <c r="BK390" s="1708"/>
      <c r="BL390" s="1708"/>
      <c r="BM390" s="1708"/>
      <c r="BN390" s="1708"/>
      <c r="BO390" s="1708"/>
      <c r="BP390" s="1708"/>
      <c r="BQ390" s="1708"/>
      <c r="BR390" s="1708"/>
      <c r="BS390" s="1708"/>
      <c r="BT390" s="1708"/>
      <c r="BU390" s="1708"/>
      <c r="BV390" s="1708"/>
      <c r="BW390" s="1708"/>
      <c r="BX390" s="1708"/>
      <c r="BY390" s="1708"/>
      <c r="BZ390" s="1708"/>
      <c r="CA390" s="1708"/>
      <c r="CB390" s="1708"/>
      <c r="CC390" s="1708"/>
      <c r="CD390" s="1708"/>
      <c r="CE390" s="1708"/>
      <c r="CF390" s="1708"/>
      <c r="CG390" s="1708"/>
      <c r="CH390" s="1708"/>
      <c r="CI390" s="1708"/>
      <c r="CJ390" s="1708"/>
      <c r="CK390" s="1708"/>
      <c r="CL390" s="1708"/>
      <c r="CM390" s="1708"/>
      <c r="CN390" s="1708"/>
      <c r="CO390" s="1708"/>
      <c r="CP390" s="1708"/>
      <c r="CQ390" s="1708"/>
      <c r="CR390" s="1708"/>
      <c r="CS390" s="1708"/>
      <c r="CT390" s="1708"/>
      <c r="CU390" s="1708"/>
      <c r="CV390" s="1708"/>
      <c r="CW390" s="1708"/>
      <c r="CX390" s="1708"/>
      <c r="CY390" s="1708"/>
      <c r="CZ390" s="1708"/>
      <c r="DA390" s="1708"/>
      <c r="DB390" s="1708"/>
      <c r="DC390" s="1708"/>
      <c r="DD390" s="1708"/>
      <c r="DE390" s="1708"/>
      <c r="DF390" s="1708"/>
      <c r="DG390" s="1708"/>
      <c r="DH390" s="1708"/>
      <c r="DI390" s="1708"/>
      <c r="DJ390" s="1708"/>
      <c r="DK390" s="1708"/>
      <c r="DL390" s="1708"/>
      <c r="DM390" s="1708"/>
      <c r="DN390" s="1708"/>
      <c r="DO390" s="1708"/>
      <c r="DP390" s="1708"/>
      <c r="DQ390" s="1708"/>
      <c r="DR390" s="1708"/>
      <c r="DS390" s="1708"/>
      <c r="DT390" s="1708"/>
      <c r="DU390" s="1708"/>
      <c r="DV390" s="1708"/>
      <c r="DW390" s="1708"/>
      <c r="DX390" s="1708"/>
      <c r="DY390" s="1708"/>
      <c r="DZ390" s="1708"/>
      <c r="EA390" s="1708"/>
      <c r="EB390" s="1708"/>
      <c r="EC390" s="1708"/>
      <c r="ED390" s="1708"/>
      <c r="EE390" s="1708"/>
      <c r="EF390" s="1708"/>
      <c r="EG390" s="1708"/>
      <c r="EH390" s="1708"/>
      <c r="EI390" s="1708"/>
      <c r="EJ390" s="1708"/>
      <c r="EK390" s="1708"/>
      <c r="EL390" s="1708"/>
      <c r="EM390" s="1708"/>
      <c r="EN390" s="1708"/>
      <c r="EO390" s="1708"/>
      <c r="EP390" s="1708"/>
      <c r="EQ390" s="1708"/>
      <c r="ER390" s="1708"/>
      <c r="ES390" s="1708"/>
      <c r="ET390" s="1708"/>
      <c r="EU390" s="1708"/>
      <c r="EV390" s="1708"/>
      <c r="EW390" s="1708"/>
      <c r="EX390" s="1708"/>
      <c r="EY390" s="1708"/>
      <c r="EZ390" s="1708"/>
      <c r="FA390" s="1708"/>
      <c r="FB390" s="1708"/>
      <c r="FC390" s="1708"/>
      <c r="FD390" s="1708"/>
      <c r="FE390" s="1708"/>
      <c r="FF390" s="1708"/>
      <c r="FG390" s="1708"/>
      <c r="FH390" s="1708"/>
      <c r="FI390" s="1708"/>
      <c r="FJ390" s="1708"/>
      <c r="FK390" s="1708"/>
      <c r="FL390" s="1708"/>
      <c r="FM390" s="1708"/>
      <c r="FN390" s="1708"/>
      <c r="FO390" s="1708"/>
      <c r="FP390" s="1708"/>
      <c r="FQ390" s="1708"/>
      <c r="FR390" s="1708"/>
      <c r="FS390" s="1708"/>
      <c r="FT390" s="1708"/>
      <c r="FU390" s="1708"/>
      <c r="FV390" s="1708"/>
      <c r="FW390" s="1708"/>
      <c r="FX390" s="1708"/>
      <c r="FY390" s="1708"/>
      <c r="FZ390" s="1708"/>
      <c r="GA390" s="1708"/>
      <c r="GB390" s="1708"/>
      <c r="GC390" s="1708"/>
      <c r="GD390" s="1708"/>
      <c r="GE390" s="1708"/>
      <c r="GF390" s="1708"/>
      <c r="GG390" s="1708"/>
      <c r="GH390" s="1708"/>
      <c r="GI390" s="1708"/>
      <c r="GJ390" s="1708"/>
      <c r="GK390" s="1708"/>
      <c r="GL390" s="1708"/>
      <c r="GM390" s="1708"/>
      <c r="GN390" s="1708"/>
      <c r="GO390" s="1708"/>
      <c r="GP390" s="1708"/>
      <c r="GQ390" s="1708"/>
      <c r="GR390" s="1708"/>
      <c r="GS390" s="1708"/>
      <c r="GT390" s="1708"/>
      <c r="GU390" s="1708"/>
      <c r="GV390" s="1708"/>
      <c r="GW390" s="1708"/>
      <c r="GX390" s="1708"/>
      <c r="GY390" s="1708"/>
      <c r="GZ390" s="1708"/>
      <c r="HA390" s="1708"/>
      <c r="HB390" s="1708"/>
      <c r="HC390" s="1708"/>
      <c r="HD390" s="1708"/>
      <c r="HE390" s="1708"/>
      <c r="HF390" s="1708"/>
      <c r="HG390" s="1708"/>
      <c r="HH390" s="1708"/>
      <c r="HI390" s="1708"/>
      <c r="HJ390" s="1708"/>
      <c r="HK390" s="1708"/>
      <c r="HL390" s="1708"/>
      <c r="HM390" s="1708"/>
      <c r="HN390" s="1708"/>
      <c r="HO390" s="1708"/>
      <c r="HP390" s="1708"/>
      <c r="HQ390" s="1708"/>
      <c r="HR390" s="1708"/>
      <c r="HS390" s="1708"/>
      <c r="HT390" s="1708"/>
      <c r="HU390" s="1708"/>
      <c r="HV390" s="1708"/>
      <c r="HW390" s="1708"/>
      <c r="HX390" s="1708"/>
      <c r="HY390" s="1708"/>
      <c r="HZ390" s="1708"/>
      <c r="IA390" s="1708"/>
      <c r="IB390" s="1708"/>
      <c r="IC390" s="1708"/>
      <c r="ID390" s="1708"/>
      <c r="IE390" s="1708"/>
      <c r="IF390" s="1708"/>
      <c r="IG390" s="1708"/>
      <c r="IH390" s="1708"/>
      <c r="II390" s="1708"/>
      <c r="IJ390" s="1708"/>
      <c r="IK390" s="1708"/>
      <c r="IL390" s="1708"/>
      <c r="IM390" s="1708"/>
      <c r="IN390" s="1708"/>
      <c r="IO390" s="1708"/>
      <c r="IP390" s="1708"/>
      <c r="IQ390" s="1708"/>
      <c r="IR390" s="1708"/>
      <c r="IS390" s="1708"/>
      <c r="IT390" s="1708"/>
      <c r="IU390" s="1708"/>
      <c r="IV390" s="1708"/>
    </row>
    <row r="391" spans="2:256" s="57" customFormat="1" x14ac:dyDescent="0.25">
      <c r="B391" s="1836"/>
      <c r="G391" s="1849"/>
      <c r="J391" s="1850"/>
      <c r="K391" s="1850"/>
      <c r="S391" s="1708"/>
      <c r="T391" s="1708"/>
      <c r="U391" s="1708"/>
      <c r="V391" s="1708"/>
      <c r="W391" s="1708"/>
      <c r="X391" s="1708"/>
      <c r="Y391" s="1708"/>
      <c r="Z391" s="1708"/>
      <c r="AA391" s="1708"/>
      <c r="AB391" s="1708"/>
      <c r="AC391" s="1708"/>
      <c r="AD391" s="1708"/>
      <c r="AE391" s="1708"/>
      <c r="AF391" s="1708"/>
      <c r="AG391" s="1708"/>
      <c r="AH391" s="1708"/>
      <c r="AI391" s="1708"/>
      <c r="AJ391" s="1708"/>
      <c r="AK391" s="1708"/>
      <c r="AL391" s="1708"/>
      <c r="AM391" s="1708"/>
      <c r="AN391" s="1708"/>
      <c r="AO391" s="1708"/>
      <c r="AP391" s="1708"/>
      <c r="AQ391" s="1708"/>
      <c r="AR391" s="1708"/>
      <c r="AS391" s="1708"/>
      <c r="AT391" s="1708"/>
      <c r="AU391" s="1708"/>
      <c r="AV391" s="1708"/>
      <c r="AW391" s="1708"/>
      <c r="AX391" s="1708"/>
      <c r="AY391" s="1708"/>
      <c r="AZ391" s="1708"/>
      <c r="BA391" s="1708"/>
      <c r="BB391" s="1708"/>
      <c r="BC391" s="1708"/>
      <c r="BD391" s="1708"/>
      <c r="BE391" s="1708"/>
      <c r="BF391" s="1708"/>
      <c r="BG391" s="1708"/>
      <c r="BH391" s="1708"/>
      <c r="BI391" s="1708"/>
      <c r="BJ391" s="1708"/>
      <c r="BK391" s="1708"/>
      <c r="BL391" s="1708"/>
      <c r="BM391" s="1708"/>
      <c r="BN391" s="1708"/>
      <c r="BO391" s="1708"/>
      <c r="BP391" s="1708"/>
      <c r="BQ391" s="1708"/>
      <c r="BR391" s="1708"/>
      <c r="BS391" s="1708"/>
      <c r="BT391" s="1708"/>
      <c r="BU391" s="1708"/>
      <c r="BV391" s="1708"/>
      <c r="BW391" s="1708"/>
      <c r="BX391" s="1708"/>
      <c r="BY391" s="1708"/>
      <c r="BZ391" s="1708"/>
      <c r="CA391" s="1708"/>
      <c r="CB391" s="1708"/>
      <c r="CC391" s="1708"/>
      <c r="CD391" s="1708"/>
      <c r="CE391" s="1708"/>
      <c r="CF391" s="1708"/>
      <c r="CG391" s="1708"/>
      <c r="CH391" s="1708"/>
      <c r="CI391" s="1708"/>
      <c r="CJ391" s="1708"/>
      <c r="CK391" s="1708"/>
      <c r="CL391" s="1708"/>
      <c r="CM391" s="1708"/>
      <c r="CN391" s="1708"/>
      <c r="CO391" s="1708"/>
      <c r="CP391" s="1708"/>
      <c r="CQ391" s="1708"/>
      <c r="CR391" s="1708"/>
      <c r="CS391" s="1708"/>
      <c r="CT391" s="1708"/>
      <c r="CU391" s="1708"/>
      <c r="CV391" s="1708"/>
      <c r="CW391" s="1708"/>
      <c r="CX391" s="1708"/>
      <c r="CY391" s="1708"/>
      <c r="CZ391" s="1708"/>
      <c r="DA391" s="1708"/>
      <c r="DB391" s="1708"/>
      <c r="DC391" s="1708"/>
      <c r="DD391" s="1708"/>
      <c r="DE391" s="1708"/>
      <c r="DF391" s="1708"/>
      <c r="DG391" s="1708"/>
      <c r="DH391" s="1708"/>
      <c r="DI391" s="1708"/>
      <c r="DJ391" s="1708"/>
      <c r="DK391" s="1708"/>
      <c r="DL391" s="1708"/>
      <c r="DM391" s="1708"/>
      <c r="DN391" s="1708"/>
      <c r="DO391" s="1708"/>
      <c r="DP391" s="1708"/>
      <c r="DQ391" s="1708"/>
      <c r="DR391" s="1708"/>
      <c r="DS391" s="1708"/>
      <c r="DT391" s="1708"/>
      <c r="DU391" s="1708"/>
      <c r="DV391" s="1708"/>
      <c r="DW391" s="1708"/>
      <c r="DX391" s="1708"/>
      <c r="DY391" s="1708"/>
      <c r="DZ391" s="1708"/>
      <c r="EA391" s="1708"/>
      <c r="EB391" s="1708"/>
      <c r="EC391" s="1708"/>
      <c r="ED391" s="1708"/>
      <c r="EE391" s="1708"/>
      <c r="EF391" s="1708"/>
      <c r="EG391" s="1708"/>
      <c r="EH391" s="1708"/>
      <c r="EI391" s="1708"/>
      <c r="EJ391" s="1708"/>
      <c r="EK391" s="1708"/>
      <c r="EL391" s="1708"/>
      <c r="EM391" s="1708"/>
      <c r="EN391" s="1708"/>
      <c r="EO391" s="1708"/>
      <c r="EP391" s="1708"/>
      <c r="EQ391" s="1708"/>
      <c r="ER391" s="1708"/>
      <c r="ES391" s="1708"/>
      <c r="ET391" s="1708"/>
      <c r="EU391" s="1708"/>
      <c r="EV391" s="1708"/>
      <c r="EW391" s="1708"/>
      <c r="EX391" s="1708"/>
      <c r="EY391" s="1708"/>
      <c r="EZ391" s="1708"/>
      <c r="FA391" s="1708"/>
      <c r="FB391" s="1708"/>
      <c r="FC391" s="1708"/>
      <c r="FD391" s="1708"/>
      <c r="FE391" s="1708"/>
      <c r="FF391" s="1708"/>
      <c r="FG391" s="1708"/>
      <c r="FH391" s="1708"/>
      <c r="FI391" s="1708"/>
      <c r="FJ391" s="1708"/>
      <c r="FK391" s="1708"/>
      <c r="FL391" s="1708"/>
      <c r="FM391" s="1708"/>
      <c r="FN391" s="1708"/>
      <c r="FO391" s="1708"/>
      <c r="FP391" s="1708"/>
      <c r="FQ391" s="1708"/>
      <c r="FR391" s="1708"/>
      <c r="FS391" s="1708"/>
      <c r="FT391" s="1708"/>
      <c r="FU391" s="1708"/>
      <c r="FV391" s="1708"/>
      <c r="FW391" s="1708"/>
      <c r="FX391" s="1708"/>
      <c r="FY391" s="1708"/>
      <c r="FZ391" s="1708"/>
      <c r="GA391" s="1708"/>
      <c r="GB391" s="1708"/>
      <c r="GC391" s="1708"/>
      <c r="GD391" s="1708"/>
      <c r="GE391" s="1708"/>
      <c r="GF391" s="1708"/>
      <c r="GG391" s="1708"/>
      <c r="GH391" s="1708"/>
      <c r="GI391" s="1708"/>
      <c r="GJ391" s="1708"/>
      <c r="GK391" s="1708"/>
      <c r="GL391" s="1708"/>
      <c r="GM391" s="1708"/>
      <c r="GN391" s="1708"/>
      <c r="GO391" s="1708"/>
      <c r="GP391" s="1708"/>
      <c r="GQ391" s="1708"/>
      <c r="GR391" s="1708"/>
      <c r="GS391" s="1708"/>
      <c r="GT391" s="1708"/>
      <c r="GU391" s="1708"/>
      <c r="GV391" s="1708"/>
      <c r="GW391" s="1708"/>
      <c r="GX391" s="1708"/>
      <c r="GY391" s="1708"/>
      <c r="GZ391" s="1708"/>
      <c r="HA391" s="1708"/>
      <c r="HB391" s="1708"/>
      <c r="HC391" s="1708"/>
      <c r="HD391" s="1708"/>
      <c r="HE391" s="1708"/>
      <c r="HF391" s="1708"/>
      <c r="HG391" s="1708"/>
      <c r="HH391" s="1708"/>
      <c r="HI391" s="1708"/>
      <c r="HJ391" s="1708"/>
      <c r="HK391" s="1708"/>
      <c r="HL391" s="1708"/>
      <c r="HM391" s="1708"/>
      <c r="HN391" s="1708"/>
      <c r="HO391" s="1708"/>
      <c r="HP391" s="1708"/>
      <c r="HQ391" s="1708"/>
      <c r="HR391" s="1708"/>
      <c r="HS391" s="1708"/>
      <c r="HT391" s="1708"/>
      <c r="HU391" s="1708"/>
      <c r="HV391" s="1708"/>
      <c r="HW391" s="1708"/>
      <c r="HX391" s="1708"/>
      <c r="HY391" s="1708"/>
      <c r="HZ391" s="1708"/>
      <c r="IA391" s="1708"/>
      <c r="IB391" s="1708"/>
      <c r="IC391" s="1708"/>
      <c r="ID391" s="1708"/>
      <c r="IE391" s="1708"/>
      <c r="IF391" s="1708"/>
      <c r="IG391" s="1708"/>
      <c r="IH391" s="1708"/>
      <c r="II391" s="1708"/>
      <c r="IJ391" s="1708"/>
      <c r="IK391" s="1708"/>
      <c r="IL391" s="1708"/>
      <c r="IM391" s="1708"/>
      <c r="IN391" s="1708"/>
      <c r="IO391" s="1708"/>
      <c r="IP391" s="1708"/>
      <c r="IQ391" s="1708"/>
      <c r="IR391" s="1708"/>
      <c r="IS391" s="1708"/>
      <c r="IT391" s="1708"/>
      <c r="IU391" s="1708"/>
      <c r="IV391" s="1708"/>
    </row>
  </sheetData>
  <sheetProtection password="E593" sheet="1" objects="1" scenarios="1"/>
  <customSheetViews>
    <customSheetView guid="{B63065A1-7838-417A-8679-08A8A2B79CD8}" scale="85" showPageBreaks="1" showGridLines="0" printArea="1">
      <rowBreaks count="1" manualBreakCount="1">
        <brk id="54" max="11" man="1"/>
      </rowBreaks>
      <pageMargins left="0" right="0" top="0" bottom="0" header="0" footer="0"/>
      <printOptions horizontalCentered="1"/>
      <pageSetup scale="63" orientation="landscape" blackAndWhite="1" horizontalDpi="300" verticalDpi="300" r:id="rId1"/>
      <headerFooter alignWithMargins="0"/>
    </customSheetView>
  </customSheetViews>
  <mergeCells count="8">
    <mergeCell ref="B117:K118"/>
    <mergeCell ref="C119:J131"/>
    <mergeCell ref="D61:G61"/>
    <mergeCell ref="D2:G2"/>
    <mergeCell ref="D4:G4"/>
    <mergeCell ref="D5:G5"/>
    <mergeCell ref="D59:G59"/>
    <mergeCell ref="D60:G60"/>
  </mergeCells>
  <conditionalFormatting sqref="G13:G24 G28:G39 G43:G50 G66:G80 G84:G89 G93 G95:G106">
    <cfRule type="expression" dxfId="17" priority="1" stopIfTrue="1">
      <formula>$G$10="Estimated"</formula>
    </cfRule>
  </conditionalFormatting>
  <hyperlinks>
    <hyperlink ref="J28" location="Attach19!A1" tooltip="Click to open Notes" display="Attach19!A1"/>
    <hyperlink ref="J34" location="Attach19!A1" tooltip="Click to open Notes" display="Attach19!A1"/>
    <hyperlink ref="J35" location="Attach19!A1" tooltip="Click to open Notes" display="Attach19!A1"/>
    <hyperlink ref="J36" location="Attach19!A1" tooltip="Click to open Notes" display="Attach19!A1"/>
    <hyperlink ref="J37" location="Attach19!A1" tooltip="Click to open Notes" display="Attach19!A1"/>
    <hyperlink ref="J38" location="Attach19!A1" tooltip="Click to open Notes" display="Attach19!A1"/>
    <hyperlink ref="J39" location="Attach19!A1" tooltip="Click to open Notes" display="Attach19!A1"/>
    <hyperlink ref="J66" location="Attach19!A1" tooltip="Click to open Notes" display="Attach19!A1"/>
    <hyperlink ref="K66" location="Attach19!A1" tooltip="Click to open Notes" display="Attach19!A1"/>
    <hyperlink ref="J73:K73" location="Attach18!A1" tooltip="Click to open notes" display="Attach18!A1"/>
    <hyperlink ref="K28" location="Attach19!A1" tooltip="Click to open Notes" display="Attach19!A1"/>
    <hyperlink ref="K34" location="Attach19!A1" tooltip="Click to open Notes" display="Attach19!A1"/>
    <hyperlink ref="J20:K23" location="Attach18!A1" tooltip="Click to open notes" display="Attach18!A1"/>
    <hyperlink ref="J29:J33" location="Attach18!A1" tooltip="Click to open Notes" display="Attach18!A1"/>
    <hyperlink ref="K29:K32" location="Attach18!A1" tooltip="Click to open Notes" display="Attach18!A1"/>
    <hyperlink ref="K33" location="Attach19!A1" tooltip="Click to open Notes" display="Attach19!A1"/>
    <hyperlink ref="K35:K39" location="Attach18!A1" tooltip="Click to open Notes" display="Attach18!A1"/>
    <hyperlink ref="J43:J50" location="Attach18!A1" tooltip="Click to open Notes" display="Attach18!A1"/>
    <hyperlink ref="K43:K50" location="Attach18!A1" tooltip="Click to open Notes" display="Attach18!A1"/>
    <hyperlink ref="J14:J24" location="Attach18!A1" tooltip="Click to open notes" display="Attach18!A1"/>
    <hyperlink ref="K14:K24" location="Attach18!A1" tooltip="Click to open notes" display="Attach18!A1"/>
    <hyperlink ref="J96:J106" location="Attach18!A1" tooltip="Click to open Notes" display="Attach18!A1"/>
    <hyperlink ref="K93" location="Attach19!A1" tooltip="Click to open Notes" display="Attach19!A1"/>
    <hyperlink ref="K67:K80" location="Attach18!A1" tooltip="Click to open Notes" display="Attach18!A1"/>
    <hyperlink ref="K84" location="Attach19!A1" tooltip="Click to open Notes" display="Attach19!A1"/>
    <hyperlink ref="K85:K88" location="Attach18!A1" tooltip="Click to open Notes" display="Attach18!A1"/>
    <hyperlink ref="K95" location="Attach19!A1" tooltip="Click to open Notes" display="Attach19!A1"/>
    <hyperlink ref="K96:K106" location="Attach18!A1" tooltip="Click to open Notes" display="Attach18!A1"/>
    <hyperlink ref="J84" location="Attach19!A1" tooltip="Click to open Notes" display="Attach19!A1"/>
    <hyperlink ref="J85:J88" location="Attach18!A1" tooltip="Click to open Notes" display="Attach18!A1"/>
    <hyperlink ref="J93" location="Attach19!A1" tooltip="Click to open Notes" display="Attach19!A1"/>
    <hyperlink ref="J95" location="Attach19!A1" tooltip="Click to open Notes" display="Attach19!A1"/>
    <hyperlink ref="K67" location="Attach19!A1" tooltip="Click to open Notes" display="Attach19!A1"/>
    <hyperlink ref="K68" location="Attach19!A1" tooltip="Click to open Notes" display="Attach19!A1"/>
    <hyperlink ref="K69" location="Attach19!A1" tooltip="Click to open Notes" display="Attach19!A1"/>
    <hyperlink ref="K70" location="Attach19!A1" tooltip="Click to open Notes" display="Attach19!A1"/>
    <hyperlink ref="K71" location="Attach19!A1" tooltip="Click to open Notes" display="Attach19!A1"/>
    <hyperlink ref="K72" location="Attach19!A1" tooltip="Click to open Notes" display="Attach19!A1"/>
    <hyperlink ref="K73" location="Attach19!A1" tooltip="Click to open Notes" display="Attach19!A1"/>
    <hyperlink ref="K74" location="Attach19!A1" tooltip="Click to open Notes" display="Attach19!A1"/>
    <hyperlink ref="K75" location="Attach19!A1" tooltip="Click to open Notes" display="Attach19!A1"/>
    <hyperlink ref="K76" location="Attach19!A1" tooltip="Click to open Notes" display="Attach19!A1"/>
    <hyperlink ref="K77" location="Attach19!A1" tooltip="Click to open Notes" display="Attach19!A1"/>
    <hyperlink ref="K78" location="Attach19!A1" tooltip="Click to open Notes" display="Attach19!A1"/>
    <hyperlink ref="K79" location="Attach19!A1" tooltip="Click to open Notes" display="Attach19!A1"/>
    <hyperlink ref="K80" location="Attach19!A1" tooltip="Click to open Notes" display="Attach19!A1"/>
    <hyperlink ref="K85" location="Attach19!A1" tooltip="Click to open Notes" display="Attach19!A1"/>
    <hyperlink ref="K86" location="Attach19!A1" tooltip="Click to open Notes" display="Attach19!A1"/>
    <hyperlink ref="K87" location="Attach19!A1" tooltip="Click to open Notes" display="Attach19!A1"/>
    <hyperlink ref="K88" location="Attach19!A1" tooltip="Click to open Notes" display="Attach19!A1"/>
    <hyperlink ref="K96" location="Attach19!A1" tooltip="Click to open Notes" display="Attach19!A1"/>
    <hyperlink ref="K97" location="Attach19!A1" tooltip="Click to open Notes" display="Attach19!A1"/>
    <hyperlink ref="K98" location="Attach19!A1" tooltip="Click to open Notes" display="Attach19!A1"/>
    <hyperlink ref="K99" location="Attach19!A1" tooltip="Click to open Notes" display="Attach19!A1"/>
    <hyperlink ref="K100" location="Attach19!A1" tooltip="Click to open Notes" display="Attach19!A1"/>
    <hyperlink ref="K101" location="Attach19!A1" tooltip="Click to open Notes" display="Attach19!A1"/>
    <hyperlink ref="K102" location="Attach19!A1" tooltip="Click to open Notes" display="Attach19!A1"/>
    <hyperlink ref="K103" location="Attach19!A1" tooltip="Click to open Notes" display="Attach19!A1"/>
    <hyperlink ref="K104" location="Attach19!A1" tooltip="Click to open Notes" display="Attach19!A1"/>
    <hyperlink ref="K105" location="Attach19!A1" tooltip="Click to open Notes" display="Attach19!A1"/>
    <hyperlink ref="J67" location="Attach19!A1" display="Attach19!A1"/>
    <hyperlink ref="J68" location="Attach19!A1" display="Attach19!A1"/>
    <hyperlink ref="J69" location="Attach19!A1" display="Attach19!A1"/>
    <hyperlink ref="J70" location="Attach19!A1" display="Attach19!A1"/>
    <hyperlink ref="J71" location="Attach19!A1" display="Attach19!A1"/>
    <hyperlink ref="J72" location="Attach19!A1" display="Attach19!A1"/>
    <hyperlink ref="J73" location="Attach19!A1" tooltip="Click to open notes" display="Attach19!A1"/>
    <hyperlink ref="J74" location="Attach19!A1" display="Attach19!A1"/>
    <hyperlink ref="J75" location="Attach19!A1" display="Attach19!A1"/>
    <hyperlink ref="J76" location="Attach19!A1" display="Attach19!A1"/>
    <hyperlink ref="J77" location="Attach19!A1" display="Attach19!A1"/>
    <hyperlink ref="J78" location="Attach19!A1" display="Attach19!A1"/>
    <hyperlink ref="J79" location="Attach19!A1" display="Attach19!A1"/>
    <hyperlink ref="J80" location="Attach19!A1" display="Attach19!A1"/>
    <hyperlink ref="J85" location="Attach19!A1" tooltip="Click to open Notes" display="Attach19!A1"/>
    <hyperlink ref="J86" location="Attach19!A1" tooltip="Click to open Notes" display="Attach19!A1"/>
    <hyperlink ref="J87" location="Attach19!A1" tooltip="Click to open Notes" display="Attach19!A1"/>
    <hyperlink ref="J88" location="Attach19!A1" tooltip="Click to open Notes" display="Attach19!A1"/>
    <hyperlink ref="J96" location="Attach19!A1" tooltip="Click to open Notes" display="Attach19!A1"/>
    <hyperlink ref="J97" location="Attach19!A1" tooltip="Click to open Notes" display="Attach19!A1"/>
    <hyperlink ref="J98" location="Attach19!A1" tooltip="Click to open Notes" display="Attach19!A1"/>
    <hyperlink ref="J99" location="Attach19!A1" tooltip="Click to open Notes" display="Attach19!A1"/>
    <hyperlink ref="J100" location="Attach19!A1" tooltip="Click to open Notes" display="Attach19!A1"/>
    <hyperlink ref="J101" location="Attach19!A1" tooltip="Click to open Notes" display="Attach19!A1"/>
    <hyperlink ref="J102" location="Attach19!A1" tooltip="Click to open Notes" display="Attach19!A1"/>
    <hyperlink ref="J103" location="Attach19!A1" tooltip="Click to open Notes" display="Attach19!A1"/>
    <hyperlink ref="J104" location="Attach19!A1" tooltip="Click to open Notes" display="Attach19!A1"/>
    <hyperlink ref="J105" location="Attach19!A1" tooltip="Click to open Notes" display="Attach19!A1"/>
    <hyperlink ref="J106" location="Attach19!A1" tooltip="Click to open Notes" display="Attach19!A1"/>
    <hyperlink ref="J14" location="Attach19!A1" tooltip="Click to open notes" display="Attach19!A1"/>
    <hyperlink ref="K14" location="Attach19!A1" tooltip="Click to open notes" display="Attach19!A1"/>
    <hyperlink ref="J15" location="Attach19!A1" tooltip="Click to open notes" display="Attach19!A1"/>
    <hyperlink ref="K15" location="Attach19!A1" tooltip="Click to open notes" display="Attach19!A1"/>
    <hyperlink ref="J16" location="Attach19!A1" tooltip="Click to open notes" display="Attach19!A1"/>
    <hyperlink ref="K16" location="Attach19!A1" tooltip="Click to open notes" display="Attach19!A1"/>
    <hyperlink ref="J17" location="Attach19!A1" tooltip="Click to open notes" display="Attach19!A1"/>
    <hyperlink ref="K17" location="Attach19!A1" tooltip="Click to open notes" display="Attach19!A1"/>
    <hyperlink ref="J18" location="Attach19!A1" tooltip="Click to open notes" display="Attach19!A1"/>
    <hyperlink ref="K18" location="Attach19!A1" tooltip="Click to open notes" display="Attach19!A1"/>
    <hyperlink ref="J19" location="Attach19!A1" tooltip="Click to open notes" display="Attach19!A1"/>
    <hyperlink ref="K19" location="Attach19!A1" tooltip="Click to open notes" display="Attach19!A1"/>
    <hyperlink ref="J20" location="Attach19!A1" tooltip="Click to open notes" display="Attach19!A1"/>
    <hyperlink ref="K20" location="Attach19!A1" tooltip="Click to open notes" display="Attach19!A1"/>
    <hyperlink ref="J21" location="Attach19!A1" tooltip="Click to open notes" display="Attach19!A1"/>
    <hyperlink ref="K21" location="Attach19!A1" tooltip="Click to open notes" display="Attach19!A1"/>
    <hyperlink ref="J22" location="Attach19!A1" tooltip="Click to open notes" display="Attach19!A1"/>
    <hyperlink ref="K22" location="Attach19!A1" tooltip="Click to open notes" display="Attach19!A1"/>
    <hyperlink ref="J23" location="Attach19!A1" tooltip="Click to open notes" display="Attach19!A1"/>
    <hyperlink ref="K23" location="Attach19!A1" tooltip="Click to open notes" display="Attach19!A1"/>
    <hyperlink ref="J24" location="Attach19!A1" tooltip="Click to open notes" display="Attach19!A1"/>
    <hyperlink ref="K24" location="Attach19!A1" tooltip="Click to open notes" display="Attach19!A1"/>
    <hyperlink ref="J29" location="Attach19!A1" tooltip="Click to open Notes" display="Attach19!A1"/>
    <hyperlink ref="K29" location="Attach19!A1" tooltip="Click to open Notes" display="Attach19!A1"/>
    <hyperlink ref="J30" location="Attach19!A1" tooltip="Click to open Notes" display="Attach19!A1"/>
    <hyperlink ref="K30" location="Attach19!A1" tooltip="Click to open Notes" display="Attach19!A1"/>
    <hyperlink ref="J31" location="Attach19!A1" tooltip="Click to open Notes" display="Attach19!A1"/>
    <hyperlink ref="K31" location="Attach19!A1" tooltip="Click to open Notes" display="Attach19!A1"/>
    <hyperlink ref="J32" location="Attach19!A1" tooltip="Click to open Notes" display="Attach19!A1"/>
    <hyperlink ref="K32" location="Attach19!A1" tooltip="Click to open Notes" display="Attach19!A1"/>
    <hyperlink ref="J33" location="Attach19!A1" tooltip="Click to open Notes" display="Attach19!A1"/>
    <hyperlink ref="K35" location="Attach19!A1" tooltip="Click to open Notes" display="Attach19!A1"/>
    <hyperlink ref="K36" location="Attach19!A1" tooltip="Click to open Notes" display="Attach19!A1"/>
    <hyperlink ref="K37" location="Attach19!A1" tooltip="Click to open Notes" display="Attach19!A1"/>
    <hyperlink ref="K38" location="Attach19!A1" tooltip="Click to open Notes" display="Attach19!A1"/>
    <hyperlink ref="K39" location="Attach19!A1" tooltip="Click to open Notes" display="Attach19!A1"/>
    <hyperlink ref="J43" location="Attach19!A1" tooltip="Click to open Notes" display="Attach19!A1"/>
    <hyperlink ref="K43" location="Attach19!A1" tooltip="Click to open Notes" display="Attach19!A1"/>
    <hyperlink ref="J44" location="Attach19!A1" tooltip="Click to open Notes" display="Attach19!A1"/>
    <hyperlink ref="K44" location="Attach19!A1" tooltip="Click to open Notes" display="Attach19!A1"/>
    <hyperlink ref="J45" location="Attach19!A1" tooltip="Click to open Notes" display="Attach19!A1"/>
    <hyperlink ref="K45" location="Attach19!A1" tooltip="Click to open Notes" display="Attach19!A1"/>
    <hyperlink ref="J46" location="Attach19!A1" tooltip="Click to open Notes" display="Attach19!A1"/>
    <hyperlink ref="K46" location="Attach19!A1" tooltip="Click to open Notes" display="Attach19!A1"/>
    <hyperlink ref="J47" location="Attach19!A1" tooltip="Click to open Notes" display="Attach19!A1"/>
    <hyperlink ref="K47" location="Attach19!A1" tooltip="Click to open Notes" display="Attach19!A1"/>
    <hyperlink ref="J48" location="Attach19!A1" tooltip="Click to open Notes" display="Attach19!A1"/>
    <hyperlink ref="K48" location="Attach19!A1" tooltip="Click to open Notes" display="Attach19!A1"/>
    <hyperlink ref="J49" location="Attach19!A1" tooltip="Click to open Notes" display="Attach19!A1"/>
    <hyperlink ref="K49" location="Attach19!A1" tooltip="Click to open Notes" display="Attach19!A1"/>
    <hyperlink ref="J50" location="Attach19!A1" tooltip="Click to open Notes" display="Attach19!A1"/>
    <hyperlink ref="K50" location="Attach19!A1" tooltip="Click to open Notes" display="Attach19!A1"/>
    <hyperlink ref="J13" location="Attach19!A1" tooltip="Click to open Notes" display="Attach19!A1"/>
    <hyperlink ref="K13" location="Attach19!A1" tooltip="Click to open Notes" display="Attach19!A1"/>
  </hyperlinks>
  <printOptions horizontalCentered="1"/>
  <pageMargins left="0" right="0" top="0" bottom="0" header="0" footer="0"/>
  <pageSetup scale="63" orientation="landscape" blackAndWhite="1" horizontalDpi="300" verticalDpi="300" r:id="rId2"/>
  <headerFooter alignWithMargins="0"/>
  <rowBreaks count="1" manualBreakCount="1">
    <brk id="57" max="11" man="1"/>
  </rowBreaks>
  <drawing r:id="rId3"/>
  <legacyDrawing r:id="rId4"/>
  <controls>
    <mc:AlternateContent xmlns:mc="http://schemas.openxmlformats.org/markup-compatibility/2006">
      <mc:Choice Requires="x14">
        <control shapeId="30728" r:id="rId5" name="CommandButton2">
          <controlPr defaultSize="0" print="0" autoLine="0" r:id="rId6">
            <anchor moveWithCells="1">
              <from>
                <xdr:col>6</xdr:col>
                <xdr:colOff>0</xdr:colOff>
                <xdr:row>111</xdr:row>
                <xdr:rowOff>0</xdr:rowOff>
              </from>
              <to>
                <xdr:col>6</xdr:col>
                <xdr:colOff>830580</xdr:colOff>
                <xdr:row>114</xdr:row>
                <xdr:rowOff>7620</xdr:rowOff>
              </to>
            </anchor>
          </controlPr>
        </control>
      </mc:Choice>
      <mc:Fallback>
        <control shapeId="30728" r:id="rId5" name="CommandButton2"/>
      </mc:Fallback>
    </mc:AlternateContent>
    <mc:AlternateContent xmlns:mc="http://schemas.openxmlformats.org/markup-compatibility/2006">
      <mc:Choice Requires="x14">
        <control shapeId="30726" r:id="rId7" name="CommandButton1">
          <controlPr defaultSize="0" print="0" autoLine="0" r:id="rId8">
            <anchor moveWithCells="1">
              <from>
                <xdr:col>2</xdr:col>
                <xdr:colOff>2468880</xdr:colOff>
                <xdr:row>57</xdr:row>
                <xdr:rowOff>15240</xdr:rowOff>
              </from>
              <to>
                <xdr:col>3</xdr:col>
                <xdr:colOff>175260</xdr:colOff>
                <xdr:row>60</xdr:row>
                <xdr:rowOff>45720</xdr:rowOff>
              </to>
            </anchor>
          </controlPr>
        </control>
      </mc:Choice>
      <mc:Fallback>
        <control shapeId="30726" r:id="rId7" name="CommandButton1"/>
      </mc:Fallback>
    </mc:AlternateContent>
    <mc:AlternateContent xmlns:mc="http://schemas.openxmlformats.org/markup-compatibility/2006">
      <mc:Choice Requires="x14">
        <control shapeId="30724" r:id="rId9" name="Label2">
          <controlPr defaultSize="0" print="0" autoLine="0" autoPict="0" r:id="rId10">
            <anchor moveWithCells="1">
              <from>
                <xdr:col>12</xdr:col>
                <xdr:colOff>327660</xdr:colOff>
                <xdr:row>54</xdr:row>
                <xdr:rowOff>182880</xdr:rowOff>
              </from>
              <to>
                <xdr:col>17</xdr:col>
                <xdr:colOff>556260</xdr:colOff>
                <xdr:row>59</xdr:row>
                <xdr:rowOff>0</xdr:rowOff>
              </to>
            </anchor>
          </controlPr>
        </control>
      </mc:Choice>
      <mc:Fallback>
        <control shapeId="30724" r:id="rId9" name="Label2"/>
      </mc:Fallback>
    </mc:AlternateContent>
    <mc:AlternateContent xmlns:mc="http://schemas.openxmlformats.org/markup-compatibility/2006">
      <mc:Choice Requires="x14">
        <control shapeId="30722" r:id="rId11" name="Label1">
          <controlPr defaultSize="0" print="0" autoLine="0" autoPict="0" r:id="rId12">
            <anchor moveWithCells="1">
              <from>
                <xdr:col>12</xdr:col>
                <xdr:colOff>266700</xdr:colOff>
                <xdr:row>2</xdr:row>
                <xdr:rowOff>0</xdr:rowOff>
              </from>
              <to>
                <xdr:col>17</xdr:col>
                <xdr:colOff>480060</xdr:colOff>
                <xdr:row>6</xdr:row>
                <xdr:rowOff>22860</xdr:rowOff>
              </to>
            </anchor>
          </controlPr>
        </control>
      </mc:Choice>
      <mc:Fallback>
        <control shapeId="30722" r:id="rId11" name="Label1"/>
      </mc:Fallback>
    </mc:AlternateContent>
    <mc:AlternateContent xmlns:mc="http://schemas.openxmlformats.org/markup-compatibility/2006">
      <mc:Choice Requires="x14">
        <control shapeId="30721" r:id="rId13" name="Button 1">
          <controlPr locked="0" defaultSize="0" print="0" autoFill="0" autoPict="0" macro="[0]!BackMain">
            <anchor moveWithCells="1" sizeWithCells="1">
              <from>
                <xdr:col>1</xdr:col>
                <xdr:colOff>22860</xdr:colOff>
                <xdr:row>2</xdr:row>
                <xdr:rowOff>15240</xdr:rowOff>
              </from>
              <to>
                <xdr:col>2</xdr:col>
                <xdr:colOff>144780</xdr:colOff>
                <xdr:row>4</xdr:row>
                <xdr:rowOff>76200</xdr:rowOff>
              </to>
            </anchor>
          </controlPr>
        </control>
      </mc:Choice>
    </mc:AlternateContent>
    <mc:AlternateContent xmlns:mc="http://schemas.openxmlformats.org/markup-compatibility/2006">
      <mc:Choice Requires="x14">
        <control shapeId="30725" r:id="rId14" name="Button 5">
          <controlPr defaultSize="0" print="0" autoFill="0" autoPict="0" macro="[0]!BackMain">
            <anchor moveWithCells="1" sizeWithCells="1">
              <from>
                <xdr:col>2</xdr:col>
                <xdr:colOff>822960</xdr:colOff>
                <xdr:row>57</xdr:row>
                <xdr:rowOff>7620</xdr:rowOff>
              </from>
              <to>
                <xdr:col>2</xdr:col>
                <xdr:colOff>1569720</xdr:colOff>
                <xdr:row>60</xdr:row>
                <xdr:rowOff>30480</xdr:rowOff>
              </to>
            </anchor>
          </controlPr>
        </control>
      </mc:Choice>
    </mc:AlternateContent>
    <mc:AlternateContent xmlns:mc="http://schemas.openxmlformats.org/markup-compatibility/2006">
      <mc:Choice Requires="x14">
        <control shapeId="30727" r:id="rId15" name="Button 7">
          <controlPr defaultSize="0" print="0" autoFill="0" autoPict="0" macro="[0]!BackMain">
            <anchor moveWithCells="1" sizeWithCells="1">
              <from>
                <xdr:col>9</xdr:col>
                <xdr:colOff>845820</xdr:colOff>
                <xdr:row>133</xdr:row>
                <xdr:rowOff>121920</xdr:rowOff>
              </from>
              <to>
                <xdr:col>11</xdr:col>
                <xdr:colOff>7620</xdr:colOff>
                <xdr:row>136</xdr:row>
                <xdr:rowOff>60960</xdr:rowOff>
              </to>
            </anchor>
          </controlPr>
        </control>
      </mc:Choice>
    </mc:AlternateContent>
    <mc:AlternateContent xmlns:mc="http://schemas.openxmlformats.org/markup-compatibility/2006">
      <mc:Choice Requires="x14">
        <control shapeId="30729" r:id="rId16" name="Button 9">
          <controlPr defaultSize="0" print="0" autoFill="0" autoPict="0" macro="[0]!PrintAttach10">
            <anchor moveWithCells="1" sizeWithCells="1">
              <from>
                <xdr:col>9</xdr:col>
                <xdr:colOff>213360</xdr:colOff>
                <xdr:row>2</xdr:row>
                <xdr:rowOff>144780</xdr:rowOff>
              </from>
              <to>
                <xdr:col>11</xdr:col>
                <xdr:colOff>22860</xdr:colOff>
                <xdr:row>4</xdr:row>
                <xdr:rowOff>106680</xdr:rowOff>
              </to>
            </anchor>
          </controlPr>
        </control>
      </mc:Choice>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T407"/>
  <sheetViews>
    <sheetView showGridLines="0" zoomScale="70" zoomScaleNormal="70" workbookViewId="0">
      <selection activeCell="A7" sqref="A7:IV9"/>
    </sheetView>
  </sheetViews>
  <sheetFormatPr defaultRowHeight="13.2" x14ac:dyDescent="0.25"/>
  <cols>
    <col min="1" max="1" width="8.88671875" style="28"/>
    <col min="2" max="2" width="10.33203125" style="52" customWidth="1"/>
    <col min="3" max="3" width="45" style="28" customWidth="1"/>
    <col min="4" max="6" width="15.6640625" style="28" customWidth="1"/>
    <col min="7" max="7" width="15.6640625" style="27" customWidth="1"/>
    <col min="8" max="9" width="15.6640625" style="28" customWidth="1"/>
    <col min="10" max="10" width="12.88671875" style="54" customWidth="1"/>
    <col min="11" max="11" width="12.109375" style="54" customWidth="1"/>
    <col min="12" max="12" width="10.33203125" style="28" customWidth="1"/>
    <col min="13" max="17" width="8.88671875" style="28"/>
    <col min="18" max="18" width="12.33203125" style="28" customWidth="1"/>
    <col min="19" max="19" width="13" style="57" customWidth="1"/>
    <col min="20" max="20" width="8.88671875" style="57"/>
    <col min="21" max="16384" width="8.88671875" style="28"/>
  </cols>
  <sheetData>
    <row r="1" spans="1:18" x14ac:dyDescent="0.25">
      <c r="A1" s="78"/>
      <c r="B1" s="468"/>
      <c r="C1" s="78"/>
      <c r="D1" s="78"/>
      <c r="E1" s="78"/>
      <c r="F1" s="78"/>
      <c r="G1" s="79"/>
      <c r="H1" s="78"/>
      <c r="I1" s="78"/>
      <c r="J1" s="553"/>
      <c r="K1" s="553"/>
      <c r="L1" s="78"/>
      <c r="M1" s="78"/>
      <c r="N1" s="57"/>
      <c r="O1" s="57"/>
      <c r="P1" s="57"/>
      <c r="Q1" s="57"/>
      <c r="R1" s="57"/>
    </row>
    <row r="2" spans="1:18" x14ac:dyDescent="0.25">
      <c r="A2" s="78"/>
      <c r="B2" s="518" t="str">
        <f>TestYear &amp; " Test Year"</f>
        <v>2023 Test Year</v>
      </c>
      <c r="C2" s="609"/>
      <c r="D2" s="609"/>
      <c r="E2" s="609"/>
      <c r="F2" s="609"/>
      <c r="G2" s="609"/>
      <c r="H2" s="469"/>
      <c r="I2" s="470"/>
      <c r="J2" s="469"/>
      <c r="K2" s="553"/>
      <c r="L2" s="470" t="s">
        <v>439</v>
      </c>
      <c r="M2" s="78"/>
      <c r="N2" s="57"/>
      <c r="O2" s="57"/>
      <c r="P2" s="57"/>
      <c r="Q2" s="57"/>
      <c r="R2" s="57"/>
    </row>
    <row r="3" spans="1:18" ht="15.75" customHeight="1" x14ac:dyDescent="0.25">
      <c r="A3" s="78"/>
      <c r="B3" s="610"/>
      <c r="C3" s="609"/>
      <c r="D3" s="2517" t="str">
        <f>Utility</f>
        <v>Cleveland Water Utility</v>
      </c>
      <c r="E3" s="2518"/>
      <c r="F3" s="2518"/>
      <c r="G3" s="2518"/>
      <c r="H3" s="469"/>
      <c r="I3" s="470"/>
      <c r="J3" s="469"/>
      <c r="K3" s="553"/>
      <c r="L3" s="470" t="s">
        <v>440</v>
      </c>
      <c r="M3" s="78"/>
      <c r="N3" s="78"/>
      <c r="O3" s="78"/>
      <c r="P3" s="78"/>
      <c r="Q3" s="78"/>
      <c r="R3" s="78"/>
    </row>
    <row r="4" spans="1:18" x14ac:dyDescent="0.25">
      <c r="A4" s="78"/>
      <c r="B4" s="611"/>
      <c r="C4" s="611"/>
      <c r="D4" s="609"/>
      <c r="E4" s="609"/>
      <c r="F4" s="609"/>
      <c r="G4" s="609"/>
      <c r="H4" s="471"/>
      <c r="I4" s="471"/>
      <c r="J4" s="562"/>
      <c r="K4" s="562"/>
      <c r="L4" s="78"/>
      <c r="M4" s="78"/>
      <c r="N4" s="78"/>
      <c r="O4" s="78"/>
      <c r="P4" s="78"/>
      <c r="Q4" s="78"/>
      <c r="R4" s="78"/>
    </row>
    <row r="5" spans="1:18" x14ac:dyDescent="0.25">
      <c r="A5" s="78"/>
      <c r="B5" s="611"/>
      <c r="C5" s="609"/>
      <c r="D5" s="2519" t="s">
        <v>441</v>
      </c>
      <c r="E5" s="2518"/>
      <c r="F5" s="2518"/>
      <c r="G5" s="2518"/>
      <c r="H5" s="469"/>
      <c r="I5" s="469"/>
      <c r="J5" s="561"/>
      <c r="K5" s="561"/>
      <c r="L5" s="78"/>
      <c r="M5" s="78"/>
      <c r="N5" s="78"/>
      <c r="O5" s="78"/>
      <c r="P5" s="78"/>
      <c r="Q5" s="78"/>
      <c r="R5" s="78"/>
    </row>
    <row r="6" spans="1:18" ht="13.8" thickBot="1" x14ac:dyDescent="0.3">
      <c r="A6" s="78"/>
      <c r="B6" s="612"/>
      <c r="C6" s="609" t="s">
        <v>442</v>
      </c>
      <c r="D6" s="2520" t="str">
        <f>CONCATENATE("Estimated for Test Year ",TestYear)</f>
        <v>Estimated for Test Year 2023</v>
      </c>
      <c r="E6" s="2521"/>
      <c r="F6" s="2521"/>
      <c r="G6" s="2521"/>
      <c r="H6" s="564"/>
      <c r="I6" s="564"/>
      <c r="J6" s="563"/>
      <c r="K6" s="563"/>
      <c r="L6" s="78"/>
      <c r="M6" s="78"/>
      <c r="N6" s="78"/>
      <c r="O6" s="78"/>
      <c r="P6" s="78"/>
      <c r="Q6" s="78"/>
      <c r="R6" s="78"/>
    </row>
    <row r="7" spans="1:18" ht="14.7" customHeight="1" thickTop="1" x14ac:dyDescent="0.25">
      <c r="A7" s="78"/>
      <c r="B7" s="581"/>
      <c r="C7" s="2532" t="s">
        <v>1326</v>
      </c>
      <c r="D7" s="2532"/>
      <c r="E7" s="2532"/>
      <c r="F7" s="2532"/>
      <c r="G7" s="2532"/>
      <c r="H7" s="2532"/>
      <c r="I7" s="2532"/>
      <c r="J7" s="2532"/>
      <c r="K7" s="2532"/>
      <c r="L7" s="226"/>
      <c r="M7" s="78"/>
      <c r="N7" s="78"/>
      <c r="O7" s="78"/>
      <c r="P7" s="78"/>
      <c r="Q7" s="78"/>
      <c r="R7" s="78"/>
    </row>
    <row r="8" spans="1:18" x14ac:dyDescent="0.25">
      <c r="A8" s="78"/>
      <c r="B8" s="595"/>
      <c r="C8" s="2523" t="s">
        <v>1293</v>
      </c>
      <c r="D8" s="2523"/>
      <c r="E8" s="2523"/>
      <c r="F8" s="2523"/>
      <c r="G8" s="2523"/>
      <c r="H8" s="2523"/>
      <c r="I8" s="2523"/>
      <c r="J8" s="2523"/>
      <c r="K8" s="2523"/>
      <c r="L8" s="228"/>
      <c r="M8" s="78"/>
      <c r="N8" s="78"/>
      <c r="O8" s="78"/>
      <c r="P8" s="78"/>
      <c r="Q8" s="78"/>
      <c r="R8" s="78"/>
    </row>
    <row r="9" spans="1:18" x14ac:dyDescent="0.25">
      <c r="A9" s="78"/>
      <c r="B9" s="595"/>
      <c r="C9" s="2523" t="s">
        <v>1327</v>
      </c>
      <c r="D9" s="2523"/>
      <c r="E9" s="2523"/>
      <c r="F9" s="2523"/>
      <c r="G9" s="2523"/>
      <c r="H9" s="2523"/>
      <c r="I9" s="2523"/>
      <c r="J9" s="2523"/>
      <c r="K9" s="2523"/>
      <c r="L9" s="228"/>
      <c r="M9" s="78"/>
      <c r="N9" s="78"/>
      <c r="O9" s="78"/>
      <c r="P9" s="78"/>
      <c r="Q9" s="78"/>
      <c r="R9" s="78"/>
    </row>
    <row r="10" spans="1:18" x14ac:dyDescent="0.25">
      <c r="A10" s="78"/>
      <c r="B10" s="595"/>
      <c r="C10" s="569"/>
      <c r="D10" s="573"/>
      <c r="E10" s="2198"/>
      <c r="F10" s="2198"/>
      <c r="G10" s="2198"/>
      <c r="H10" s="477"/>
      <c r="I10" s="477"/>
      <c r="J10" s="569"/>
      <c r="K10" s="569"/>
      <c r="L10" s="228"/>
      <c r="M10" s="78"/>
      <c r="N10" s="78"/>
      <c r="O10" s="78"/>
      <c r="P10" s="78"/>
      <c r="Q10" s="78"/>
      <c r="R10" s="78"/>
    </row>
    <row r="11" spans="1:18" x14ac:dyDescent="0.25">
      <c r="A11" s="78"/>
      <c r="B11" s="583"/>
      <c r="C11" s="584"/>
      <c r="D11" s="585"/>
      <c r="E11" s="586"/>
      <c r="F11" s="586"/>
      <c r="G11" s="587"/>
      <c r="H11" s="587"/>
      <c r="I11" s="588" t="str">
        <f>IF(Data!H5="Actual",CONCATENATE(D13,", ",E13,", ",F13,", ",G13),CONCATENATE(D13,", ",E13,", ",F13))</f>
        <v>2019, 2020, 2021</v>
      </c>
      <c r="J11" s="589"/>
      <c r="K11" s="590"/>
      <c r="L11" s="228"/>
      <c r="M11" s="78"/>
      <c r="N11" s="78"/>
      <c r="O11" s="78"/>
      <c r="P11" s="78"/>
      <c r="Q11" s="78"/>
      <c r="R11" s="78"/>
    </row>
    <row r="12" spans="1:18" x14ac:dyDescent="0.25">
      <c r="A12" s="78"/>
      <c r="B12" s="583" t="s">
        <v>443</v>
      </c>
      <c r="C12" s="584"/>
      <c r="D12" s="585"/>
      <c r="E12" s="586"/>
      <c r="F12" s="586"/>
      <c r="G12" s="591" t="str">
        <f>Data!H5</f>
        <v>Estimated</v>
      </c>
      <c r="H12" s="592" t="s">
        <v>313</v>
      </c>
      <c r="I12" s="588" t="str">
        <f>IF(Data!H5="Actual","4 Year", "3 Year")</f>
        <v>3 Year</v>
      </c>
      <c r="J12" s="593" t="str">
        <f>G12</f>
        <v>Estimated</v>
      </c>
      <c r="K12" s="593" t="s">
        <v>313</v>
      </c>
      <c r="L12" s="228"/>
      <c r="M12" s="78"/>
    </row>
    <row r="13" spans="1:18" x14ac:dyDescent="0.25">
      <c r="A13" s="78"/>
      <c r="B13" s="594" t="s">
        <v>444</v>
      </c>
      <c r="C13" s="577" t="s">
        <v>315</v>
      </c>
      <c r="D13" s="578">
        <f>TestYear-4</f>
        <v>2019</v>
      </c>
      <c r="E13" s="578">
        <f>TestYear-3</f>
        <v>2020</v>
      </c>
      <c r="F13" s="579">
        <f>TestYear-2</f>
        <v>2021</v>
      </c>
      <c r="G13" s="578">
        <f>TestYear-1</f>
        <v>2022</v>
      </c>
      <c r="H13" s="579">
        <f>TestYear</f>
        <v>2023</v>
      </c>
      <c r="I13" s="578" t="s">
        <v>175</v>
      </c>
      <c r="J13" s="575">
        <f>TestYear-1</f>
        <v>2022</v>
      </c>
      <c r="K13" s="575">
        <f>TestYear</f>
        <v>2023</v>
      </c>
      <c r="L13" s="228"/>
      <c r="M13" s="78"/>
    </row>
    <row r="14" spans="1:18" x14ac:dyDescent="0.25">
      <c r="A14" s="78"/>
      <c r="B14" s="595" t="s">
        <v>445</v>
      </c>
      <c r="C14" s="568"/>
      <c r="D14" s="596" t="s">
        <v>446</v>
      </c>
      <c r="E14" s="597"/>
      <c r="F14" s="597"/>
      <c r="G14" s="205"/>
      <c r="H14" s="205"/>
      <c r="I14" s="565" t="s">
        <v>446</v>
      </c>
      <c r="J14" s="589" t="s">
        <v>447</v>
      </c>
      <c r="K14" s="598"/>
      <c r="L14" s="228"/>
      <c r="M14" s="78"/>
      <c r="N14" s="57"/>
      <c r="O14" s="57"/>
      <c r="P14" s="57"/>
      <c r="Q14" s="57"/>
      <c r="R14" s="57"/>
    </row>
    <row r="15" spans="1:18" ht="13.8" x14ac:dyDescent="0.25">
      <c r="A15" s="78"/>
      <c r="B15" s="599">
        <v>600</v>
      </c>
      <c r="C15" s="580" t="s">
        <v>448</v>
      </c>
      <c r="D15" s="613">
        <f>Data!B21</f>
        <v>40860</v>
      </c>
      <c r="E15" s="613">
        <f>Data!C21</f>
        <v>40546</v>
      </c>
      <c r="F15" s="613">
        <f>Data!D21</f>
        <v>41728</v>
      </c>
      <c r="G15" s="614">
        <f>Data!E21</f>
        <v>0</v>
      </c>
      <c r="H15" s="615">
        <v>0</v>
      </c>
      <c r="I15" s="613">
        <f>IF(Data!$H$5="Actual", SUM(D15+E15+F15+G15)/4, SUM(D15+E15+F15)/3)</f>
        <v>41044.666666666664</v>
      </c>
      <c r="J15" s="600" t="str">
        <f>IF(I15&lt;&gt;0,IF((G15-I15)/I15&gt;0.15,"Explain",IF((G15-I15)/I15&lt;-0.15,"Explain","")),"")</f>
        <v>Explain</v>
      </c>
      <c r="K15" s="600" t="str">
        <f>IF(I15&lt;&gt;0,IF((H15-I15)/I15&gt;0.15,"Explain",IF((H15-I15)/I15&lt; -0.15,"Explain","")),"")</f>
        <v>Explain</v>
      </c>
      <c r="L15" s="228"/>
      <c r="M15" s="78"/>
      <c r="N15" s="57"/>
      <c r="O15" s="57"/>
      <c r="P15" s="57"/>
      <c r="Q15" s="57"/>
      <c r="R15" s="57"/>
    </row>
    <row r="16" spans="1:18" ht="13.8" x14ac:dyDescent="0.25">
      <c r="A16" s="78"/>
      <c r="B16" s="599">
        <v>601</v>
      </c>
      <c r="C16" s="580" t="s">
        <v>449</v>
      </c>
      <c r="D16" s="616">
        <f>Data!B22</f>
        <v>0</v>
      </c>
      <c r="E16" s="616">
        <f>Data!C22</f>
        <v>0</v>
      </c>
      <c r="F16" s="616">
        <f>Data!D22</f>
        <v>0</v>
      </c>
      <c r="G16" s="617">
        <f>Data!E22</f>
        <v>0</v>
      </c>
      <c r="H16" s="618">
        <v>0</v>
      </c>
      <c r="I16" s="616">
        <f>IF(Data!$H$5="Actual", SUM(D16+E16+F16+G16)/4, SUM(D16+E16+F16)/3)</f>
        <v>0</v>
      </c>
      <c r="J16" s="600" t="str">
        <f>IF(I16&lt;&gt;0,IF((G16-I16)/I16&gt;0.15,"Explain",IF((G16-I16)/I16&lt; -0.15,"Explain","")),"")</f>
        <v/>
      </c>
      <c r="K16" s="600" t="str">
        <f>IF(I16&lt;&gt;0,IF((H16-I16)/I16&gt;0.15,"Explain",IF((H16-I16)/I16&lt; -0.15,"Explain","")),"")</f>
        <v/>
      </c>
      <c r="L16" s="228"/>
      <c r="M16" s="78"/>
      <c r="N16" s="57"/>
      <c r="O16" s="57"/>
      <c r="P16" s="57"/>
      <c r="Q16" s="57"/>
      <c r="R16" s="57"/>
    </row>
    <row r="17" spans="1:18" ht="13.8" x14ac:dyDescent="0.25">
      <c r="A17" s="78"/>
      <c r="B17" s="599">
        <v>602</v>
      </c>
      <c r="C17" s="580" t="s">
        <v>450</v>
      </c>
      <c r="D17" s="616">
        <f>Data!B23</f>
        <v>7619</v>
      </c>
      <c r="E17" s="616">
        <f>Data!C23</f>
        <v>8136</v>
      </c>
      <c r="F17" s="616">
        <f>Data!D23</f>
        <v>10051</v>
      </c>
      <c r="G17" s="617">
        <f>Data!E23</f>
        <v>0</v>
      </c>
      <c r="H17" s="618">
        <v>0</v>
      </c>
      <c r="I17" s="616">
        <f>IF(Data!$H$5="Actual", SUM(D17+E17+F17+G17)/4, SUM(D17+E17+F17)/3)</f>
        <v>8602</v>
      </c>
      <c r="J17" s="600" t="str">
        <f>IF(I17&lt;&gt;0,IF((G17-I17)/I17&gt;0.15,"Explain",IF((G17-I17)/I17&lt; -0.15,"Explain","")),"")</f>
        <v>Explain</v>
      </c>
      <c r="K17" s="600" t="str">
        <f>IF(I17&lt;&gt;0,IF((H17-I17)/I17&gt;0.15,"Explain",IF((H17-I17)/I17&lt; -0.15,"Explain","")),"")</f>
        <v>Explain</v>
      </c>
      <c r="L17" s="228"/>
      <c r="M17" s="78"/>
      <c r="N17" s="57"/>
      <c r="O17" s="57"/>
      <c r="P17" s="57"/>
      <c r="Q17" s="57"/>
      <c r="R17" s="57"/>
    </row>
    <row r="18" spans="1:18" ht="13.8" x14ac:dyDescent="0.25">
      <c r="A18" s="78"/>
      <c r="B18" s="599">
        <v>605</v>
      </c>
      <c r="C18" s="580" t="s">
        <v>451</v>
      </c>
      <c r="D18" s="616">
        <f>Data!B24</f>
        <v>3988</v>
      </c>
      <c r="E18" s="616">
        <f>Data!C24</f>
        <v>4856</v>
      </c>
      <c r="F18" s="616">
        <f>Data!D24</f>
        <v>6254</v>
      </c>
      <c r="G18" s="617">
        <f>Data!E24</f>
        <v>0</v>
      </c>
      <c r="H18" s="618">
        <v>0</v>
      </c>
      <c r="I18" s="619">
        <f>IF(Data!$H$5="Actual", SUM(D18+E18+F18+G18)/4, SUM(D18+E18+F18)/3)</f>
        <v>5032.666666666667</v>
      </c>
      <c r="J18" s="600" t="str">
        <f>IF(I18&lt;&gt;0,IF((G18-I18)/I18&gt;0.15,"Explain",IF((G18-I18)/I18&lt; -0.15,"Explain","")),"")</f>
        <v>Explain</v>
      </c>
      <c r="K18" s="600" t="str">
        <f>IF(I18&lt;&gt;0,IF((H18-I18)/I18&gt;0.15,"Explain",IF((H18-I18)/I18&lt; -0.15,"Explain","")),"")</f>
        <v>Explain</v>
      </c>
      <c r="L18" s="228"/>
      <c r="M18" s="78"/>
      <c r="N18" s="57"/>
      <c r="O18" s="57"/>
      <c r="P18" s="57"/>
      <c r="Q18" s="57"/>
      <c r="R18" s="57"/>
    </row>
    <row r="19" spans="1:18" ht="13.8" x14ac:dyDescent="0.25">
      <c r="A19" s="78"/>
      <c r="B19" s="599"/>
      <c r="C19" s="580"/>
      <c r="D19" s="620"/>
      <c r="E19" s="620"/>
      <c r="F19" s="620"/>
      <c r="G19" s="621"/>
      <c r="H19" s="491"/>
      <c r="I19" s="614"/>
      <c r="J19" s="601"/>
      <c r="K19" s="601"/>
      <c r="L19" s="228"/>
      <c r="M19" s="78"/>
      <c r="N19" s="57"/>
      <c r="O19" s="57"/>
      <c r="P19" s="57"/>
      <c r="Q19" s="57"/>
      <c r="R19" s="57"/>
    </row>
    <row r="20" spans="1:18" ht="13.8" x14ac:dyDescent="0.25">
      <c r="A20" s="78"/>
      <c r="B20" s="599"/>
      <c r="C20" s="580" t="s">
        <v>452</v>
      </c>
      <c r="D20" s="622">
        <f t="shared" ref="D20:I20" si="0">SUM(D15:D18)</f>
        <v>52467</v>
      </c>
      <c r="E20" s="622">
        <f t="shared" si="0"/>
        <v>53538</v>
      </c>
      <c r="F20" s="622">
        <f t="shared" si="0"/>
        <v>58033</v>
      </c>
      <c r="G20" s="622">
        <f t="shared" si="0"/>
        <v>0</v>
      </c>
      <c r="H20" s="622">
        <f t="shared" si="0"/>
        <v>0</v>
      </c>
      <c r="I20" s="622">
        <f t="shared" si="0"/>
        <v>54679.333333333328</v>
      </c>
      <c r="J20" s="601"/>
      <c r="K20" s="601"/>
      <c r="L20" s="228"/>
      <c r="M20" s="78"/>
      <c r="N20" s="57"/>
      <c r="O20" s="57"/>
      <c r="P20" s="57"/>
      <c r="Q20" s="57"/>
      <c r="R20" s="57"/>
    </row>
    <row r="21" spans="1:18" ht="17.7" customHeight="1" x14ac:dyDescent="0.25">
      <c r="A21" s="78"/>
      <c r="B21" s="599"/>
      <c r="C21" s="580"/>
      <c r="D21" s="616"/>
      <c r="E21" s="616"/>
      <c r="F21" s="616"/>
      <c r="G21" s="491"/>
      <c r="H21" s="491"/>
      <c r="I21" s="614"/>
      <c r="J21" s="601"/>
      <c r="K21" s="601"/>
      <c r="L21" s="228"/>
      <c r="M21" s="78"/>
      <c r="N21" s="57"/>
      <c r="O21" s="57"/>
      <c r="P21" s="57"/>
      <c r="Q21" s="57"/>
      <c r="R21" s="57"/>
    </row>
    <row r="22" spans="1:18" ht="13.8" x14ac:dyDescent="0.25">
      <c r="A22" s="78"/>
      <c r="B22" s="599">
        <v>620</v>
      </c>
      <c r="C22" s="580" t="s">
        <v>448</v>
      </c>
      <c r="D22" s="1133">
        <f>Data!B25</f>
        <v>8961</v>
      </c>
      <c r="E22" s="613">
        <f>Data!C25</f>
        <v>7104</v>
      </c>
      <c r="F22" s="613">
        <f>Data!D25</f>
        <v>6999</v>
      </c>
      <c r="G22" s="614">
        <f>Data!E25</f>
        <v>0</v>
      </c>
      <c r="H22" s="615">
        <v>0</v>
      </c>
      <c r="I22" s="613">
        <f>IF(Data!$H$5="Actual", SUM(D22+E22+F22+G22)/4, SUM(D22+E22+F22)/3)</f>
        <v>7688</v>
      </c>
      <c r="J22" s="600" t="str">
        <f>IF(I22&lt;&gt;0,IF((G22-I22)/I22&gt;0.15,"Explain",IF((G22-I22)/I22&lt; -0.15,"Explain","")),"")</f>
        <v>Explain</v>
      </c>
      <c r="K22" s="600" t="str">
        <f>IF(I22&lt;&gt;0,IF((H22-I22)/I22&gt;0.15,"Explain",IF((H22-I22)/I22&lt; -0.15,"Explain","")),"")</f>
        <v>Explain</v>
      </c>
      <c r="L22" s="228"/>
      <c r="M22" s="78"/>
      <c r="N22" s="57"/>
      <c r="O22" s="57"/>
      <c r="P22" s="57"/>
      <c r="Q22" s="57"/>
      <c r="R22" s="57"/>
    </row>
    <row r="23" spans="1:18" ht="13.8" x14ac:dyDescent="0.25">
      <c r="A23" s="78"/>
      <c r="B23" s="599">
        <v>621</v>
      </c>
      <c r="C23" s="580" t="s">
        <v>453</v>
      </c>
      <c r="D23" s="616">
        <f>Data!B26</f>
        <v>44481</v>
      </c>
      <c r="E23" s="616">
        <f>Data!C26</f>
        <v>83908</v>
      </c>
      <c r="F23" s="616">
        <f>Data!D26</f>
        <v>103427</v>
      </c>
      <c r="G23" s="617">
        <f>Data!E26</f>
        <v>0</v>
      </c>
      <c r="H23" s="618">
        <v>0</v>
      </c>
      <c r="I23" s="616">
        <f>IF(Data!$H$5="Actual", SUM(D23+E23+F23+G23)/4, SUM(D23+E23+F23)/3)</f>
        <v>77272</v>
      </c>
      <c r="J23" s="600" t="str">
        <f>IF(I23&lt;&gt;0,IF((G23-I23)/I23&gt;0.15,"Explain",IF((G23-I23)/I23&lt; -0.15,"Explain","")),"")</f>
        <v>Explain</v>
      </c>
      <c r="K23" s="600" t="str">
        <f>IF(I23&lt;&gt;0,IF((H23-I23)/I23&gt;0.15,"Explain",IF((H23-I23)/I23&lt; -0.15,"Explain","")),"")</f>
        <v>Explain</v>
      </c>
      <c r="L23" s="228"/>
      <c r="M23" s="78"/>
      <c r="N23" s="57"/>
      <c r="O23" s="57"/>
      <c r="P23" s="57"/>
      <c r="Q23" s="57"/>
      <c r="R23" s="57"/>
    </row>
    <row r="24" spans="1:18" ht="13.8" x14ac:dyDescent="0.25">
      <c r="A24" s="78"/>
      <c r="B24" s="599">
        <v>622</v>
      </c>
      <c r="C24" s="580" t="s">
        <v>454</v>
      </c>
      <c r="D24" s="616">
        <f>Data!B27</f>
        <v>1454</v>
      </c>
      <c r="E24" s="616">
        <f>Data!C27</f>
        <v>1256</v>
      </c>
      <c r="F24" s="616">
        <f>Data!D27</f>
        <v>997</v>
      </c>
      <c r="G24" s="617">
        <f>Data!E27</f>
        <v>0</v>
      </c>
      <c r="H24" s="618">
        <v>0</v>
      </c>
      <c r="I24" s="616">
        <f>IF(Data!$H$5="Actual", SUM(D24+E24+F24+G24)/4, SUM(D24+E24+F24)/3)</f>
        <v>1235.6666666666667</v>
      </c>
      <c r="J24" s="600" t="str">
        <f>IF(I24&lt;&gt;0,IF((G24-I24)/I24&gt;0.15,"Explain",IF((G24-I24)/I24&lt; -0.15,"Explain","")),"")</f>
        <v>Explain</v>
      </c>
      <c r="K24" s="600" t="str">
        <f>IF(I24&lt;&gt;0,IF((H24-I24)/I24&gt;0.15,"Explain",IF((H24-I24)/I24&lt; -0.15,"Explain","")),"")</f>
        <v>Explain</v>
      </c>
      <c r="L24" s="228"/>
      <c r="M24" s="78"/>
      <c r="N24" s="57"/>
      <c r="O24" s="57"/>
      <c r="P24" s="57"/>
      <c r="Q24" s="57"/>
      <c r="R24" s="57"/>
    </row>
    <row r="25" spans="1:18" ht="13.8" x14ac:dyDescent="0.25">
      <c r="A25" s="78"/>
      <c r="B25" s="599">
        <v>623</v>
      </c>
      <c r="C25" s="580" t="s">
        <v>450</v>
      </c>
      <c r="D25" s="616">
        <f>Data!B28</f>
        <v>54855</v>
      </c>
      <c r="E25" s="616">
        <f>Data!C28</f>
        <v>47591</v>
      </c>
      <c r="F25" s="616">
        <f>Data!D28</f>
        <v>42467</v>
      </c>
      <c r="G25" s="617">
        <f>Data!E28</f>
        <v>0</v>
      </c>
      <c r="H25" s="618">
        <v>0</v>
      </c>
      <c r="I25" s="616">
        <f>IF(Data!$H$5="Actual", SUM(D25+E25+F25+G25)/4, SUM(D25+E25+F25)/3)</f>
        <v>48304.333333333336</v>
      </c>
      <c r="J25" s="600" t="str">
        <f>IF(I25&lt;&gt;0,IF((G25-I25)/I25&gt;0.15,"Explain",IF((G25-I25)/I25&lt; -0.15,"Explain","")),"")</f>
        <v>Explain</v>
      </c>
      <c r="K25" s="600" t="str">
        <f>IF(I25&lt;&gt;0,IF((H25-I25)/I25&gt;0.15,"Explain",IF((H25-I25)/I25&lt; -0.15,"Explain","")),"")</f>
        <v>Explain</v>
      </c>
      <c r="L25" s="228"/>
      <c r="M25" s="78"/>
      <c r="N25" s="57"/>
      <c r="O25" s="57"/>
      <c r="P25" s="57"/>
      <c r="Q25" s="57"/>
      <c r="R25" s="57"/>
    </row>
    <row r="26" spans="1:18" ht="13.8" x14ac:dyDescent="0.25">
      <c r="A26" s="78"/>
      <c r="B26" s="599">
        <v>625</v>
      </c>
      <c r="C26" s="580" t="s">
        <v>455</v>
      </c>
      <c r="D26" s="616">
        <f>Data!B29</f>
        <v>11281</v>
      </c>
      <c r="E26" s="616">
        <f>Data!C29</f>
        <v>12538</v>
      </c>
      <c r="F26" s="616">
        <f>Data!D29</f>
        <v>13676</v>
      </c>
      <c r="G26" s="617">
        <f>Data!E29</f>
        <v>0</v>
      </c>
      <c r="H26" s="618">
        <v>0</v>
      </c>
      <c r="I26" s="619">
        <f>IF(Data!$H$5="Actual", SUM(D26+E26+F26+G26)/4, SUM(D26+E26+F26)/3)</f>
        <v>12498.333333333334</v>
      </c>
      <c r="J26" s="600" t="str">
        <f>IF(I26&lt;&gt;0,IF((G26-I26)/I26&gt;0.15,"Explain",IF((G26-I26)/I26&lt; -0.15,"Explain","")),"")</f>
        <v>Explain</v>
      </c>
      <c r="K26" s="600" t="str">
        <f>IF(I26&lt;&gt;0,IF((H26-I26)/I26&gt;0.15,"Explain",IF((H26-I26)/I26&lt; -0.15,"Explain","")),"")</f>
        <v>Explain</v>
      </c>
      <c r="L26" s="228"/>
      <c r="M26" s="78"/>
      <c r="N26" s="57"/>
      <c r="O26" s="57"/>
      <c r="P26" s="57"/>
      <c r="Q26" s="57"/>
      <c r="R26" s="57"/>
    </row>
    <row r="27" spans="1:18" ht="13.8" x14ac:dyDescent="0.25">
      <c r="A27" s="78"/>
      <c r="B27" s="599"/>
      <c r="C27" s="580"/>
      <c r="D27" s="620"/>
      <c r="E27" s="620"/>
      <c r="F27" s="620"/>
      <c r="G27" s="621"/>
      <c r="H27" s="491"/>
      <c r="I27" s="614"/>
      <c r="J27" s="601"/>
      <c r="K27" s="601"/>
      <c r="L27" s="228"/>
      <c r="M27" s="78"/>
      <c r="N27" s="57"/>
      <c r="O27" s="57"/>
      <c r="P27" s="57"/>
      <c r="Q27" s="57"/>
      <c r="R27" s="57"/>
    </row>
    <row r="28" spans="1:18" ht="13.8" x14ac:dyDescent="0.25">
      <c r="A28" s="78"/>
      <c r="B28" s="599"/>
      <c r="C28" s="580" t="s">
        <v>456</v>
      </c>
      <c r="D28" s="622">
        <f t="shared" ref="D28:I28" si="1">SUM(D22:D26)</f>
        <v>121032</v>
      </c>
      <c r="E28" s="622">
        <f t="shared" si="1"/>
        <v>152397</v>
      </c>
      <c r="F28" s="622">
        <f t="shared" si="1"/>
        <v>167566</v>
      </c>
      <c r="G28" s="622">
        <f t="shared" si="1"/>
        <v>0</v>
      </c>
      <c r="H28" s="622">
        <f t="shared" si="1"/>
        <v>0</v>
      </c>
      <c r="I28" s="622">
        <f t="shared" si="1"/>
        <v>146998.33333333334</v>
      </c>
      <c r="J28" s="601"/>
      <c r="K28" s="601"/>
      <c r="L28" s="228"/>
      <c r="M28" s="78"/>
      <c r="N28" s="57"/>
      <c r="O28" s="57"/>
      <c r="P28" s="57"/>
      <c r="Q28" s="57"/>
      <c r="R28" s="57"/>
    </row>
    <row r="29" spans="1:18" ht="13.8" x14ac:dyDescent="0.25">
      <c r="A29" s="78"/>
      <c r="B29" s="599"/>
      <c r="C29" s="486"/>
      <c r="D29" s="502"/>
      <c r="E29" s="613"/>
      <c r="F29" s="613"/>
      <c r="G29" s="614"/>
      <c r="H29" s="614"/>
      <c r="I29" s="614"/>
      <c r="J29" s="601"/>
      <c r="K29" s="601"/>
      <c r="L29" s="228"/>
      <c r="M29" s="78"/>
      <c r="N29" s="57"/>
      <c r="O29" s="57"/>
      <c r="P29" s="57"/>
      <c r="Q29" s="57"/>
      <c r="R29" s="57"/>
    </row>
    <row r="30" spans="1:18" ht="13.8" x14ac:dyDescent="0.25">
      <c r="A30" s="78"/>
      <c r="B30" s="599">
        <v>630</v>
      </c>
      <c r="C30" s="580" t="s">
        <v>448</v>
      </c>
      <c r="D30" s="1134">
        <f>Data!B30</f>
        <v>23791</v>
      </c>
      <c r="E30" s="613">
        <f>Data!C30</f>
        <v>48760</v>
      </c>
      <c r="F30" s="613">
        <f>Data!D30</f>
        <v>39408</v>
      </c>
      <c r="G30" s="614">
        <f>Data!E30</f>
        <v>0</v>
      </c>
      <c r="H30" s="615">
        <v>0</v>
      </c>
      <c r="I30" s="613">
        <f>IF(Data!$H$5="Actual", SUM(D30+E30+F30+G30)/4, SUM(D30+E30+F30)/3)</f>
        <v>37319.666666666664</v>
      </c>
      <c r="J30" s="600" t="str">
        <f>IF(I30&lt;&gt;0,IF((G30-I30)/I30&gt;0.15,"Explain",IF((G30-I30)/I30&lt;-0.15,"Explain","")),"")</f>
        <v>Explain</v>
      </c>
      <c r="K30" s="600" t="str">
        <f>IF(I30&lt;&gt;0,IF((H30-I30)/I30&gt;0.15,"Explain",IF((H30-I30)/I30&lt; -0.15,"Explain","")),"")</f>
        <v>Explain</v>
      </c>
      <c r="L30" s="228"/>
      <c r="M30" s="78"/>
      <c r="N30" s="57"/>
      <c r="O30" s="57"/>
      <c r="P30" s="57"/>
      <c r="Q30" s="57"/>
      <c r="R30" s="57"/>
    </row>
    <row r="31" spans="1:18" ht="13.8" x14ac:dyDescent="0.25">
      <c r="A31" s="78"/>
      <c r="B31" s="599">
        <v>631</v>
      </c>
      <c r="C31" s="580" t="s">
        <v>457</v>
      </c>
      <c r="D31" s="616">
        <f>Data!B31</f>
        <v>8213</v>
      </c>
      <c r="E31" s="616">
        <f>Data!C31</f>
        <v>8573</v>
      </c>
      <c r="F31" s="616">
        <f>Data!D31</f>
        <v>9109</v>
      </c>
      <c r="G31" s="617">
        <f>Data!E31</f>
        <v>0</v>
      </c>
      <c r="H31" s="618">
        <v>0</v>
      </c>
      <c r="I31" s="616">
        <f>IF(Data!$H$5="Actual", SUM(D31+E31+F31+G31)/4, SUM(D31+E31+F31)/3)</f>
        <v>8631.6666666666661</v>
      </c>
      <c r="J31" s="600" t="str">
        <f>IF(I31&lt;&gt;0,IF((G31-I31)/I31&gt;0.15,"Explain",IF((G31-I31)/I31&lt;-0.15,"Explain","")),"")</f>
        <v>Explain</v>
      </c>
      <c r="K31" s="600" t="str">
        <f>IF(I31&lt;&gt;0,IF((H31-I31)/I31&gt;0.15,"Explain",IF((H31-I31)/I31&lt; -0.15,"Explain","")),"")</f>
        <v>Explain</v>
      </c>
      <c r="L31" s="228"/>
      <c r="M31" s="78"/>
      <c r="N31" s="57"/>
      <c r="O31" s="57"/>
      <c r="P31" s="57"/>
      <c r="Q31" s="57"/>
      <c r="R31" s="57"/>
    </row>
    <row r="32" spans="1:18" ht="13.8" x14ac:dyDescent="0.25">
      <c r="A32" s="78"/>
      <c r="B32" s="599">
        <v>632</v>
      </c>
      <c r="C32" s="580" t="s">
        <v>450</v>
      </c>
      <c r="D32" s="616">
        <f>Data!B32</f>
        <v>22220</v>
      </c>
      <c r="E32" s="616">
        <f>Data!C32</f>
        <v>19472</v>
      </c>
      <c r="F32" s="616">
        <f>Data!D32</f>
        <v>18483</v>
      </c>
      <c r="G32" s="617">
        <f>Data!E32</f>
        <v>0</v>
      </c>
      <c r="H32" s="618">
        <v>0</v>
      </c>
      <c r="I32" s="616">
        <f>IF(Data!$H$5="Actual", SUM(D32+E32+F32+G32)/4, SUM(D32+E32+F32)/3)</f>
        <v>20058.333333333332</v>
      </c>
      <c r="J32" s="600" t="str">
        <f>IF(I32&lt;&gt;0,IF((G32-I32)/I32&gt;0.15,"Explain",IF((G32-I32)/I32&lt;-0.15,"Explain","")),"")</f>
        <v>Explain</v>
      </c>
      <c r="K32" s="600" t="str">
        <f>IF(I32&lt;&gt;0,IF((H32-I32)/I32&gt;0.15,"Explain",IF((H32-I32)/I32&lt; -0.15,"Explain","")),"")</f>
        <v>Explain</v>
      </c>
      <c r="L32" s="228"/>
      <c r="M32" s="78"/>
      <c r="N32" s="57"/>
      <c r="O32" s="57"/>
      <c r="P32" s="57"/>
      <c r="Q32" s="57"/>
      <c r="R32" s="57"/>
    </row>
    <row r="33" spans="1:18" ht="13.8" x14ac:dyDescent="0.25">
      <c r="A33" s="78"/>
      <c r="B33" s="599">
        <v>635</v>
      </c>
      <c r="C33" s="580" t="s">
        <v>458</v>
      </c>
      <c r="D33" s="616">
        <f>Data!B33</f>
        <v>70</v>
      </c>
      <c r="E33" s="616">
        <f>Data!C33</f>
        <v>149</v>
      </c>
      <c r="F33" s="616">
        <f>Data!D33</f>
        <v>250</v>
      </c>
      <c r="G33" s="617">
        <f>Data!E33</f>
        <v>0</v>
      </c>
      <c r="H33" s="618">
        <v>0</v>
      </c>
      <c r="I33" s="619">
        <f>IF(Data!$H$5="Actual", SUM(D33+E33+F33+G33)/4, SUM(D33+E33+F33)/3)</f>
        <v>156.33333333333334</v>
      </c>
      <c r="J33" s="600" t="str">
        <f>IF(I33&lt;&gt;0,IF((G33-I33)/I33&gt;0.15,"Explain",IF((G33-I33)/I33&lt;-0.15,"Explain","")),"")</f>
        <v>Explain</v>
      </c>
      <c r="K33" s="600" t="str">
        <f>IF(I33&lt;&gt;0,IF((H33-I33)/I33&gt;0.15,"Explain",IF((H33-I33)/I33&lt; -0.15,"Explain","")),"")</f>
        <v>Explain</v>
      </c>
      <c r="L33" s="228"/>
      <c r="M33" s="78"/>
      <c r="N33" s="57"/>
      <c r="O33" s="57"/>
      <c r="P33" s="57"/>
      <c r="Q33" s="57"/>
      <c r="R33" s="57"/>
    </row>
    <row r="34" spans="1:18" ht="13.8" x14ac:dyDescent="0.25">
      <c r="A34" s="78"/>
      <c r="B34" s="599"/>
      <c r="C34" s="580"/>
      <c r="D34" s="620"/>
      <c r="E34" s="620"/>
      <c r="F34" s="620"/>
      <c r="G34" s="621"/>
      <c r="H34" s="491"/>
      <c r="I34" s="614"/>
      <c r="J34" s="602"/>
      <c r="K34" s="602"/>
      <c r="L34" s="228"/>
      <c r="M34" s="78"/>
      <c r="N34" s="57"/>
      <c r="O34" s="57"/>
      <c r="P34" s="57"/>
      <c r="Q34" s="57"/>
      <c r="R34" s="57"/>
    </row>
    <row r="35" spans="1:18" ht="13.8" x14ac:dyDescent="0.25">
      <c r="A35" s="78"/>
      <c r="B35" s="599"/>
      <c r="C35" s="580" t="s">
        <v>459</v>
      </c>
      <c r="D35" s="622">
        <f t="shared" ref="D35:I35" si="2">SUM(D30:D33)</f>
        <v>54294</v>
      </c>
      <c r="E35" s="622">
        <f t="shared" si="2"/>
        <v>76954</v>
      </c>
      <c r="F35" s="622">
        <f t="shared" si="2"/>
        <v>67250</v>
      </c>
      <c r="G35" s="622">
        <f t="shared" si="2"/>
        <v>0</v>
      </c>
      <c r="H35" s="622">
        <f t="shared" si="2"/>
        <v>0</v>
      </c>
      <c r="I35" s="622">
        <f t="shared" si="2"/>
        <v>66165.999999999985</v>
      </c>
      <c r="J35" s="603"/>
      <c r="K35" s="603"/>
      <c r="L35" s="228"/>
      <c r="M35" s="78"/>
      <c r="N35" s="57"/>
      <c r="O35" s="57"/>
      <c r="P35" s="57"/>
      <c r="Q35" s="57"/>
      <c r="R35" s="57"/>
    </row>
    <row r="36" spans="1:18" ht="13.8" x14ac:dyDescent="0.25">
      <c r="A36" s="78"/>
      <c r="B36" s="599"/>
      <c r="C36" s="580"/>
      <c r="D36" s="616"/>
      <c r="E36" s="616"/>
      <c r="F36" s="616"/>
      <c r="G36" s="491"/>
      <c r="H36" s="491"/>
      <c r="I36" s="614"/>
      <c r="J36" s="602"/>
      <c r="K36" s="602"/>
      <c r="L36" s="228"/>
      <c r="M36" s="78"/>
      <c r="N36" s="57"/>
      <c r="O36" s="57"/>
      <c r="P36" s="57"/>
      <c r="Q36" s="57"/>
      <c r="R36" s="57"/>
    </row>
    <row r="37" spans="1:18" ht="13.8" x14ac:dyDescent="0.25">
      <c r="A37" s="78"/>
      <c r="B37" s="599">
        <v>640</v>
      </c>
      <c r="C37" s="580" t="s">
        <v>448</v>
      </c>
      <c r="D37" s="613">
        <f>Data!B34</f>
        <v>862</v>
      </c>
      <c r="E37" s="613">
        <f>Data!C34</f>
        <v>736</v>
      </c>
      <c r="F37" s="613">
        <f>Data!D34</f>
        <v>1078</v>
      </c>
      <c r="G37" s="614">
        <f>Data!E34</f>
        <v>0</v>
      </c>
      <c r="H37" s="615">
        <v>0</v>
      </c>
      <c r="I37" s="613">
        <f>IF(Data!$H$5="Actual", SUM(D37+E37+F37+G37)/4, SUM(D37+E37+F37)/3)</f>
        <v>892</v>
      </c>
      <c r="J37" s="600" t="str">
        <f t="shared" ref="J37:J44" si="3">IF(I37&lt;&gt;0,IF((G37-I37)/I37&gt;0.15,"Explain",IF((G37-I37)/I37&lt;-0.15,"Explain","")),"")</f>
        <v>Explain</v>
      </c>
      <c r="K37" s="600" t="str">
        <f t="shared" ref="K37:K44" si="4">IF(I37&lt;&gt;0,IF((H37-I37)/I37&gt;0.15,"Explain",IF((H37-I37)/I37&lt; -0.15,"Explain","")),"")</f>
        <v>Explain</v>
      </c>
      <c r="L37" s="228"/>
      <c r="M37" s="78"/>
      <c r="N37" s="57"/>
      <c r="O37" s="57"/>
      <c r="P37" s="57"/>
      <c r="Q37" s="57"/>
      <c r="R37" s="57"/>
    </row>
    <row r="38" spans="1:18" ht="13.8" x14ac:dyDescent="0.25">
      <c r="A38" s="78"/>
      <c r="B38" s="599">
        <v>641</v>
      </c>
      <c r="C38" s="580" t="s">
        <v>450</v>
      </c>
      <c r="D38" s="616">
        <f>Data!B35</f>
        <v>0</v>
      </c>
      <c r="E38" s="616">
        <f>Data!C35</f>
        <v>0</v>
      </c>
      <c r="F38" s="616">
        <f>Data!D35</f>
        <v>55</v>
      </c>
      <c r="G38" s="617">
        <f>Data!E35</f>
        <v>0</v>
      </c>
      <c r="H38" s="618">
        <v>0</v>
      </c>
      <c r="I38" s="616">
        <f>IF(Data!$H$5="Actual", SUM(D38+E38+F38+G38)/4, SUM(D38+E38+F38)/3)</f>
        <v>18.333333333333332</v>
      </c>
      <c r="J38" s="600" t="str">
        <f t="shared" si="3"/>
        <v>Explain</v>
      </c>
      <c r="K38" s="600" t="str">
        <f t="shared" si="4"/>
        <v>Explain</v>
      </c>
      <c r="L38" s="228"/>
      <c r="M38" s="78"/>
      <c r="N38" s="57"/>
      <c r="O38" s="57"/>
      <c r="P38" s="57"/>
      <c r="Q38" s="57"/>
      <c r="R38" s="57"/>
    </row>
    <row r="39" spans="1:18" ht="13.8" x14ac:dyDescent="0.25">
      <c r="A39" s="78"/>
      <c r="B39" s="599">
        <v>650</v>
      </c>
      <c r="C39" s="580" t="s">
        <v>460</v>
      </c>
      <c r="D39" s="616">
        <f>Data!B36</f>
        <v>0</v>
      </c>
      <c r="E39" s="616">
        <f>Data!C36</f>
        <v>0</v>
      </c>
      <c r="F39" s="616">
        <f>Data!D36</f>
        <v>0</v>
      </c>
      <c r="G39" s="617">
        <f>Data!E36</f>
        <v>0</v>
      </c>
      <c r="H39" s="485">
        <v>0</v>
      </c>
      <c r="I39" s="616">
        <f>IF(Data!$H$5="Actual", SUM(D39+E39+F39+G39)/4, SUM(D39+E39+F39)/3)</f>
        <v>0</v>
      </c>
      <c r="J39" s="600" t="str">
        <f t="shared" si="3"/>
        <v/>
      </c>
      <c r="K39" s="600" t="str">
        <f t="shared" si="4"/>
        <v/>
      </c>
      <c r="L39" s="228"/>
      <c r="M39" s="78"/>
      <c r="N39" s="57"/>
      <c r="O39" s="57"/>
      <c r="P39" s="57"/>
      <c r="Q39" s="57"/>
      <c r="R39" s="57"/>
    </row>
    <row r="40" spans="1:18" ht="13.8" x14ac:dyDescent="0.25">
      <c r="A40" s="78"/>
      <c r="B40" s="599">
        <v>651</v>
      </c>
      <c r="C40" s="580" t="s">
        <v>461</v>
      </c>
      <c r="D40" s="616">
        <f>Data!B37</f>
        <v>0</v>
      </c>
      <c r="E40" s="616">
        <f>Data!C37</f>
        <v>0</v>
      </c>
      <c r="F40" s="616">
        <f>Data!D37</f>
        <v>0</v>
      </c>
      <c r="G40" s="617">
        <f>Data!E37</f>
        <v>0</v>
      </c>
      <c r="H40" s="618">
        <v>0</v>
      </c>
      <c r="I40" s="616">
        <f>IF(Data!$H$5="Actual", SUM(D40+E40+F40+G40)/4, SUM(D40+E40+F40)/3)</f>
        <v>0</v>
      </c>
      <c r="J40" s="600" t="str">
        <f t="shared" si="3"/>
        <v/>
      </c>
      <c r="K40" s="600" t="str">
        <f t="shared" si="4"/>
        <v/>
      </c>
      <c r="L40" s="228"/>
      <c r="M40" s="78"/>
      <c r="N40" s="57"/>
      <c r="O40" s="57"/>
      <c r="P40" s="57"/>
      <c r="Q40" s="57"/>
      <c r="R40" s="57"/>
    </row>
    <row r="41" spans="1:18" ht="13.8" x14ac:dyDescent="0.25">
      <c r="A41" s="78"/>
      <c r="B41" s="599">
        <v>652</v>
      </c>
      <c r="C41" s="580" t="s">
        <v>462</v>
      </c>
      <c r="D41" s="616">
        <f>Data!B38</f>
        <v>0</v>
      </c>
      <c r="E41" s="616">
        <f>Data!C38</f>
        <v>0</v>
      </c>
      <c r="F41" s="616">
        <f>Data!D38</f>
        <v>0</v>
      </c>
      <c r="G41" s="617">
        <f>Data!E38</f>
        <v>0</v>
      </c>
      <c r="H41" s="618">
        <v>0</v>
      </c>
      <c r="I41" s="616">
        <f>IF(Data!$H$5="Actual", SUM(D41+E41+F41+G41)/4, SUM(D41+E41+F41)/3)</f>
        <v>0</v>
      </c>
      <c r="J41" s="600" t="str">
        <f t="shared" si="3"/>
        <v/>
      </c>
      <c r="K41" s="600" t="str">
        <f t="shared" si="4"/>
        <v/>
      </c>
      <c r="L41" s="228"/>
      <c r="M41" s="78"/>
      <c r="N41" s="57"/>
      <c r="O41" s="57"/>
      <c r="P41" s="57"/>
      <c r="Q41" s="57"/>
      <c r="R41" s="57"/>
    </row>
    <row r="42" spans="1:18" ht="13.8" x14ac:dyDescent="0.25">
      <c r="A42" s="78"/>
      <c r="B42" s="599">
        <v>653</v>
      </c>
      <c r="C42" s="580" t="s">
        <v>463</v>
      </c>
      <c r="D42" s="616">
        <f>Data!B39</f>
        <v>0</v>
      </c>
      <c r="E42" s="616">
        <f>Data!C39</f>
        <v>0</v>
      </c>
      <c r="F42" s="616">
        <f>Data!D39</f>
        <v>0</v>
      </c>
      <c r="G42" s="617">
        <f>Data!E39</f>
        <v>0</v>
      </c>
      <c r="H42" s="618">
        <v>0</v>
      </c>
      <c r="I42" s="616">
        <f>IF(Data!$H$5="Actual", SUM(D42+E42+F42+G42)/4, SUM(D42+E42+F42)/3)</f>
        <v>0</v>
      </c>
      <c r="J42" s="600" t="str">
        <f t="shared" si="3"/>
        <v/>
      </c>
      <c r="K42" s="600" t="str">
        <f t="shared" si="4"/>
        <v/>
      </c>
      <c r="L42" s="228"/>
      <c r="M42" s="78"/>
      <c r="N42" s="57"/>
      <c r="O42" s="57"/>
      <c r="P42" s="57"/>
      <c r="Q42" s="57"/>
      <c r="R42" s="57"/>
    </row>
    <row r="43" spans="1:18" ht="13.8" x14ac:dyDescent="0.25">
      <c r="A43" s="78"/>
      <c r="B43" s="599">
        <v>654</v>
      </c>
      <c r="C43" s="580" t="s">
        <v>464</v>
      </c>
      <c r="D43" s="616">
        <f>Data!B40</f>
        <v>0</v>
      </c>
      <c r="E43" s="616">
        <f>Data!C40</f>
        <v>0</v>
      </c>
      <c r="F43" s="616">
        <f>Data!D40</f>
        <v>0</v>
      </c>
      <c r="G43" s="617">
        <f>Data!E40</f>
        <v>0</v>
      </c>
      <c r="H43" s="618">
        <v>0</v>
      </c>
      <c r="I43" s="616">
        <f>IF(Data!$H$5="Actual", SUM(D43+E43+F43+G43)/4, SUM(D43+E43+F43)/3)</f>
        <v>0</v>
      </c>
      <c r="J43" s="600" t="str">
        <f t="shared" si="3"/>
        <v/>
      </c>
      <c r="K43" s="600" t="str">
        <f t="shared" si="4"/>
        <v/>
      </c>
      <c r="L43" s="228"/>
      <c r="M43" s="78"/>
      <c r="N43" s="57"/>
      <c r="O43" s="57"/>
      <c r="P43" s="57"/>
      <c r="Q43" s="57"/>
      <c r="R43" s="57"/>
    </row>
    <row r="44" spans="1:18" ht="13.8" x14ac:dyDescent="0.25">
      <c r="A44" s="78"/>
      <c r="B44" s="599">
        <v>655</v>
      </c>
      <c r="C44" s="580" t="s">
        <v>465</v>
      </c>
      <c r="D44" s="616">
        <f>Data!B41</f>
        <v>0</v>
      </c>
      <c r="E44" s="616">
        <f>Data!C41</f>
        <v>0</v>
      </c>
      <c r="F44" s="616">
        <f>Data!D41</f>
        <v>0</v>
      </c>
      <c r="G44" s="617">
        <f>Data!E41</f>
        <v>0</v>
      </c>
      <c r="H44" s="618">
        <v>0</v>
      </c>
      <c r="I44" s="616">
        <f>IF(Data!$H$5="Actual", SUM(D44+E44+F44+G44)/4, SUM(D44+E44+F44)/3)</f>
        <v>0</v>
      </c>
      <c r="J44" s="600" t="str">
        <f t="shared" si="3"/>
        <v/>
      </c>
      <c r="K44" s="600" t="str">
        <f t="shared" si="4"/>
        <v/>
      </c>
      <c r="L44" s="228"/>
      <c r="M44" s="78"/>
      <c r="N44" s="57"/>
      <c r="O44" s="57"/>
      <c r="P44" s="57"/>
      <c r="Q44" s="57"/>
      <c r="R44" s="57"/>
    </row>
    <row r="45" spans="1:18" ht="13.8" x14ac:dyDescent="0.25">
      <c r="A45" s="78"/>
      <c r="B45" s="497"/>
      <c r="C45" s="486"/>
      <c r="D45" s="623"/>
      <c r="E45" s="623"/>
      <c r="F45" s="623"/>
      <c r="G45" s="623"/>
      <c r="H45" s="544"/>
      <c r="I45" s="623"/>
      <c r="J45" s="604"/>
      <c r="K45" s="604"/>
      <c r="L45" s="228"/>
      <c r="M45" s="78"/>
      <c r="N45" s="57"/>
      <c r="O45" s="57"/>
      <c r="P45" s="57"/>
      <c r="Q45" s="57"/>
      <c r="R45" s="57"/>
    </row>
    <row r="46" spans="1:18" ht="13.8" x14ac:dyDescent="0.25">
      <c r="A46" s="78"/>
      <c r="B46" s="497"/>
      <c r="C46" s="486" t="s">
        <v>466</v>
      </c>
      <c r="D46" s="624">
        <f t="shared" ref="D46:I46" si="5">SUM(D37:D44)</f>
        <v>862</v>
      </c>
      <c r="E46" s="624">
        <f t="shared" si="5"/>
        <v>736</v>
      </c>
      <c r="F46" s="624">
        <f t="shared" si="5"/>
        <v>1133</v>
      </c>
      <c r="G46" s="624">
        <f t="shared" si="5"/>
        <v>0</v>
      </c>
      <c r="H46" s="624">
        <f t="shared" si="5"/>
        <v>0</v>
      </c>
      <c r="I46" s="622">
        <f t="shared" si="5"/>
        <v>910.33333333333337</v>
      </c>
      <c r="J46" s="601"/>
      <c r="K46" s="601"/>
      <c r="L46" s="228"/>
      <c r="M46" s="78"/>
      <c r="N46" s="57"/>
      <c r="O46" s="57"/>
      <c r="P46" s="57"/>
      <c r="Q46" s="57"/>
      <c r="R46" s="57"/>
    </row>
    <row r="47" spans="1:18" x14ac:dyDescent="0.25">
      <c r="A47" s="78"/>
      <c r="B47" s="504"/>
      <c r="C47" s="477"/>
      <c r="D47" s="533"/>
      <c r="E47" s="533"/>
      <c r="F47" s="533"/>
      <c r="G47" s="533"/>
      <c r="H47" s="533"/>
      <c r="I47" s="533"/>
      <c r="J47" s="598"/>
      <c r="K47" s="598"/>
      <c r="L47" s="228"/>
      <c r="M47" s="78"/>
      <c r="N47" s="57"/>
      <c r="O47" s="57"/>
      <c r="P47" s="57"/>
      <c r="Q47" s="57"/>
      <c r="R47" s="57"/>
    </row>
    <row r="48" spans="1:18" ht="13.8" thickBot="1" x14ac:dyDescent="0.3">
      <c r="A48" s="78"/>
      <c r="B48" s="605"/>
      <c r="C48" s="606"/>
      <c r="D48" s="607"/>
      <c r="E48" s="607"/>
      <c r="F48" s="607"/>
      <c r="G48" s="607"/>
      <c r="H48" s="607"/>
      <c r="I48" s="607"/>
      <c r="J48" s="608"/>
      <c r="K48" s="608"/>
      <c r="L48" s="232"/>
      <c r="M48" s="78"/>
      <c r="N48" s="57"/>
      <c r="O48" s="57"/>
      <c r="P48" s="57"/>
      <c r="Q48" s="57"/>
      <c r="R48" s="57"/>
    </row>
    <row r="49" spans="1:18" ht="13.8" thickTop="1" x14ac:dyDescent="0.25">
      <c r="A49" s="78"/>
      <c r="B49" s="521"/>
      <c r="C49" s="186"/>
      <c r="D49" s="557"/>
      <c r="E49" s="557"/>
      <c r="F49" s="557"/>
      <c r="G49" s="557"/>
      <c r="H49" s="557"/>
      <c r="I49" s="557"/>
      <c r="J49" s="553"/>
      <c r="K49" s="553"/>
      <c r="L49" s="78"/>
      <c r="M49" s="78"/>
      <c r="N49" s="57"/>
      <c r="O49" s="57"/>
      <c r="P49" s="57"/>
      <c r="Q49" s="57"/>
      <c r="R49" s="57"/>
    </row>
    <row r="50" spans="1:18" x14ac:dyDescent="0.25">
      <c r="A50" s="78"/>
      <c r="B50" s="468"/>
      <c r="C50" s="79"/>
      <c r="D50" s="557"/>
      <c r="E50" s="557"/>
      <c r="F50" s="557"/>
      <c r="G50" s="557"/>
      <c r="H50" s="557"/>
      <c r="I50" s="557"/>
      <c r="J50" s="553"/>
      <c r="K50" s="553"/>
      <c r="L50" s="78"/>
      <c r="M50" s="78"/>
      <c r="N50" s="57"/>
      <c r="O50" s="57"/>
      <c r="P50" s="57"/>
      <c r="Q50" s="57"/>
      <c r="R50" s="57"/>
    </row>
    <row r="51" spans="1:18" ht="14.25" customHeight="1" x14ac:dyDescent="0.25">
      <c r="A51" s="78"/>
      <c r="B51" s="468"/>
      <c r="C51" s="79"/>
      <c r="D51" s="557"/>
      <c r="E51" s="557"/>
      <c r="F51" s="557"/>
      <c r="G51" s="557"/>
      <c r="H51" s="557"/>
      <c r="I51" s="557"/>
      <c r="J51" s="553"/>
      <c r="K51" s="553"/>
      <c r="L51" s="78"/>
      <c r="M51" s="78"/>
      <c r="N51" s="57"/>
      <c r="O51" s="57"/>
      <c r="P51" s="57"/>
      <c r="Q51" s="57"/>
      <c r="R51" s="57"/>
    </row>
    <row r="52" spans="1:18" x14ac:dyDescent="0.25">
      <c r="A52" s="78"/>
      <c r="B52" s="520"/>
      <c r="C52" s="79"/>
      <c r="D52" s="79"/>
      <c r="E52" s="79"/>
      <c r="F52" s="79"/>
      <c r="G52" s="79"/>
      <c r="H52" s="79"/>
      <c r="I52" s="466"/>
      <c r="J52" s="79"/>
      <c r="K52" s="466"/>
      <c r="L52" s="78"/>
      <c r="M52" s="78"/>
      <c r="N52" s="78"/>
      <c r="O52" s="78"/>
      <c r="P52" s="78"/>
      <c r="Q52" s="78"/>
      <c r="R52" s="78"/>
    </row>
    <row r="53" spans="1:18" x14ac:dyDescent="0.25">
      <c r="A53" s="78"/>
      <c r="B53" s="636" t="str">
        <f>B2</f>
        <v>2023 Test Year</v>
      </c>
      <c r="C53" s="561"/>
      <c r="D53" s="2529" t="str">
        <f>D3</f>
        <v>Cleveland Water Utility</v>
      </c>
      <c r="E53" s="2530"/>
      <c r="F53" s="2530"/>
      <c r="G53" s="2530"/>
      <c r="H53" s="469"/>
      <c r="I53" s="470"/>
      <c r="J53" s="469"/>
      <c r="K53" s="553"/>
      <c r="L53" s="470" t="s">
        <v>439</v>
      </c>
      <c r="M53" s="78"/>
      <c r="N53" s="78"/>
      <c r="O53" s="78"/>
      <c r="P53" s="78"/>
      <c r="Q53" s="78"/>
      <c r="R53" s="78"/>
    </row>
    <row r="54" spans="1:18" x14ac:dyDescent="0.25">
      <c r="A54" s="78"/>
      <c r="B54" s="562"/>
      <c r="C54" s="562"/>
      <c r="D54" s="561"/>
      <c r="E54" s="561"/>
      <c r="F54" s="561"/>
      <c r="G54" s="637"/>
      <c r="H54" s="471"/>
      <c r="I54" s="471"/>
      <c r="J54" s="561"/>
      <c r="K54" s="553"/>
      <c r="L54" s="470" t="s">
        <v>467</v>
      </c>
      <c r="M54" s="78"/>
      <c r="N54" s="78"/>
      <c r="O54" s="78"/>
      <c r="P54" s="78"/>
      <c r="Q54" s="78"/>
      <c r="R54" s="78"/>
    </row>
    <row r="55" spans="1:18" x14ac:dyDescent="0.25">
      <c r="A55" s="78"/>
      <c r="B55" s="562"/>
      <c r="C55" s="561"/>
      <c r="D55" s="2531" t="s">
        <v>441</v>
      </c>
      <c r="E55" s="2530"/>
      <c r="F55" s="2530"/>
      <c r="G55" s="2530"/>
      <c r="H55" s="469"/>
      <c r="I55" s="469"/>
      <c r="J55" s="561"/>
      <c r="K55" s="561"/>
      <c r="L55" s="78"/>
      <c r="M55" s="78"/>
      <c r="N55" s="78"/>
      <c r="O55" s="78"/>
      <c r="P55" s="78"/>
      <c r="Q55" s="78"/>
      <c r="R55" s="78"/>
    </row>
    <row r="56" spans="1:18" ht="13.8" thickBot="1" x14ac:dyDescent="0.3">
      <c r="A56" s="78"/>
      <c r="B56" s="563"/>
      <c r="C56" s="563"/>
      <c r="D56" s="2525" t="str">
        <f>D6</f>
        <v>Estimated for Test Year 2023</v>
      </c>
      <c r="E56" s="2526"/>
      <c r="F56" s="2526"/>
      <c r="G56" s="2526"/>
      <c r="H56" s="564"/>
      <c r="I56" s="564"/>
      <c r="J56" s="561"/>
      <c r="K56" s="561"/>
      <c r="L56" s="78"/>
      <c r="M56" s="78"/>
      <c r="N56" s="78"/>
      <c r="O56" s="78"/>
      <c r="P56" s="78"/>
      <c r="Q56" s="78"/>
      <c r="R56" s="78"/>
    </row>
    <row r="57" spans="1:18" ht="13.8" thickTop="1" x14ac:dyDescent="0.25">
      <c r="A57" s="78"/>
      <c r="B57" s="659"/>
      <c r="C57" s="660"/>
      <c r="D57" s="2527"/>
      <c r="E57" s="2528"/>
      <c r="F57" s="2528"/>
      <c r="G57" s="2528"/>
      <c r="H57" s="661"/>
      <c r="I57" s="661"/>
      <c r="J57" s="582"/>
      <c r="K57" s="582"/>
      <c r="L57" s="226"/>
      <c r="M57" s="78"/>
      <c r="N57" s="78"/>
      <c r="O57" s="78"/>
      <c r="P57" s="78"/>
      <c r="Q57" s="78"/>
      <c r="R57" s="78"/>
    </row>
    <row r="58" spans="1:18" x14ac:dyDescent="0.25">
      <c r="A58" s="78"/>
      <c r="B58" s="583"/>
      <c r="C58" s="584"/>
      <c r="D58" s="584"/>
      <c r="E58" s="584"/>
      <c r="F58" s="584"/>
      <c r="G58" s="662"/>
      <c r="H58" s="662"/>
      <c r="I58" s="663" t="str">
        <f>I11</f>
        <v>2019, 2020, 2021</v>
      </c>
      <c r="J58" s="569"/>
      <c r="K58" s="569"/>
      <c r="L58" s="228"/>
      <c r="M58" s="78"/>
      <c r="N58" s="78"/>
      <c r="O58" s="78"/>
      <c r="P58" s="78"/>
      <c r="Q58" s="78"/>
      <c r="R58" s="78"/>
    </row>
    <row r="59" spans="1:18" x14ac:dyDescent="0.25">
      <c r="A59" s="78"/>
      <c r="B59" s="583" t="s">
        <v>443</v>
      </c>
      <c r="C59" s="584" t="s">
        <v>442</v>
      </c>
      <c r="D59" s="585"/>
      <c r="E59" s="586"/>
      <c r="F59" s="586"/>
      <c r="G59" s="591" t="str">
        <f>G12</f>
        <v>Estimated</v>
      </c>
      <c r="H59" s="592" t="s">
        <v>313</v>
      </c>
      <c r="I59" s="588" t="str">
        <f>I12</f>
        <v>3 Year</v>
      </c>
      <c r="J59" s="593" t="str">
        <f>G59</f>
        <v>Estimated</v>
      </c>
      <c r="K59" s="593" t="s">
        <v>313</v>
      </c>
      <c r="L59" s="228"/>
      <c r="M59" s="78"/>
      <c r="N59" s="78"/>
      <c r="O59" s="78"/>
      <c r="P59" s="78"/>
      <c r="Q59" s="78"/>
      <c r="R59" s="78"/>
    </row>
    <row r="60" spans="1:18" x14ac:dyDescent="0.25">
      <c r="A60" s="78"/>
      <c r="B60" s="594" t="s">
        <v>444</v>
      </c>
      <c r="C60" s="577" t="s">
        <v>315</v>
      </c>
      <c r="D60" s="578">
        <f>D13</f>
        <v>2019</v>
      </c>
      <c r="E60" s="578">
        <f>E13</f>
        <v>2020</v>
      </c>
      <c r="F60" s="578">
        <f>F13</f>
        <v>2021</v>
      </c>
      <c r="G60" s="578">
        <f>G13</f>
        <v>2022</v>
      </c>
      <c r="H60" s="578">
        <f>H13</f>
        <v>2023</v>
      </c>
      <c r="I60" s="578" t="s">
        <v>175</v>
      </c>
      <c r="J60" s="572">
        <f>J13</f>
        <v>2022</v>
      </c>
      <c r="K60" s="572">
        <f>K13</f>
        <v>2023</v>
      </c>
      <c r="L60" s="228"/>
      <c r="M60" s="78"/>
      <c r="N60" s="78"/>
      <c r="O60" s="78"/>
      <c r="P60" s="78"/>
      <c r="Q60" s="78"/>
      <c r="R60" s="78"/>
    </row>
    <row r="61" spans="1:18" x14ac:dyDescent="0.25">
      <c r="A61" s="78"/>
      <c r="B61" s="595"/>
      <c r="C61" s="568"/>
      <c r="D61" s="650"/>
      <c r="E61" s="570"/>
      <c r="F61" s="570"/>
      <c r="G61" s="537"/>
      <c r="H61" s="537"/>
      <c r="I61" s="567"/>
      <c r="J61" s="656"/>
      <c r="K61" s="656"/>
      <c r="L61" s="228"/>
      <c r="M61" s="78"/>
      <c r="N61" s="57"/>
      <c r="O61" s="57"/>
      <c r="P61" s="57"/>
      <c r="Q61" s="57"/>
      <c r="R61" s="57"/>
    </row>
    <row r="62" spans="1:18" ht="15" customHeight="1" x14ac:dyDescent="0.25">
      <c r="A62" s="78"/>
      <c r="B62" s="599">
        <v>901</v>
      </c>
      <c r="C62" s="580" t="s">
        <v>468</v>
      </c>
      <c r="D62" s="613">
        <f>Data!B42</f>
        <v>0</v>
      </c>
      <c r="E62" s="613">
        <f>Data!C42</f>
        <v>0</v>
      </c>
      <c r="F62" s="613">
        <f>Data!D42</f>
        <v>0</v>
      </c>
      <c r="G62" s="614">
        <f>Data!E42</f>
        <v>0</v>
      </c>
      <c r="H62" s="615">
        <v>0</v>
      </c>
      <c r="I62" s="613">
        <f>IF(Data!$H$5="Actual", SUM(D62+E62+F62+G62)/4, SUM(D62+E62+F62)/3)</f>
        <v>0</v>
      </c>
      <c r="J62" s="628" t="str">
        <f>IF(I62&lt;&gt;0,IF((G62-I62)/I62&gt;0.15,"Explain",IF((G62-I62)/I62&lt;-0.15,"Explain","")),"")</f>
        <v/>
      </c>
      <c r="K62" s="628" t="str">
        <f>IF(I62&lt;&gt;0,IF((H62-I62)/I62&gt;0.15,"Explain",IF((H62-I62)/I62&lt; -0.15,"Explain","")),"")</f>
        <v/>
      </c>
      <c r="L62" s="228"/>
      <c r="M62" s="78"/>
      <c r="N62" s="57"/>
      <c r="O62" s="57"/>
      <c r="P62" s="57"/>
      <c r="Q62" s="57"/>
      <c r="R62" s="57"/>
    </row>
    <row r="63" spans="1:18" ht="15" customHeight="1" x14ac:dyDescent="0.25">
      <c r="A63" s="78"/>
      <c r="B63" s="599">
        <v>902</v>
      </c>
      <c r="C63" s="580" t="s">
        <v>469</v>
      </c>
      <c r="D63" s="616">
        <f>Data!B43</f>
        <v>0</v>
      </c>
      <c r="E63" s="616">
        <f>Data!C43</f>
        <v>0</v>
      </c>
      <c r="F63" s="616">
        <f>Data!D43</f>
        <v>0</v>
      </c>
      <c r="G63" s="617">
        <f>Data!E43</f>
        <v>0</v>
      </c>
      <c r="H63" s="618">
        <v>0</v>
      </c>
      <c r="I63" s="616">
        <f>IF(Data!$H$5="Actual", SUM(D63+E63+F63+G63)/4, SUM(D63+E63+F63)/3)</f>
        <v>0</v>
      </c>
      <c r="J63" s="628" t="str">
        <f>IF(I63&lt;&gt;0,IF((G63-I63)/I63&gt;0.15,"Explain",IF((G63-I63)/I63&lt;-0.15,"Explain","")),"")</f>
        <v/>
      </c>
      <c r="K63" s="628" t="str">
        <f>IF(I63&lt;&gt;0,IF((H63-I63)/I63&gt;0.15,"Explain",IF((H63-I63)/I63&lt; -0.15,"Explain","")),"")</f>
        <v/>
      </c>
      <c r="L63" s="228"/>
      <c r="M63" s="78"/>
      <c r="N63" s="57"/>
      <c r="O63" s="57"/>
      <c r="P63" s="57"/>
      <c r="Q63" s="57"/>
      <c r="R63" s="57"/>
    </row>
    <row r="64" spans="1:18" ht="15" customHeight="1" x14ac:dyDescent="0.25">
      <c r="A64" s="78"/>
      <c r="B64" s="599">
        <v>903</v>
      </c>
      <c r="C64" s="580" t="s">
        <v>470</v>
      </c>
      <c r="D64" s="616">
        <f>Data!B44</f>
        <v>0</v>
      </c>
      <c r="E64" s="616">
        <f>Data!C44</f>
        <v>0</v>
      </c>
      <c r="F64" s="616">
        <f>Data!D44</f>
        <v>0</v>
      </c>
      <c r="G64" s="617">
        <f>Data!E44</f>
        <v>0</v>
      </c>
      <c r="H64" s="618">
        <v>0</v>
      </c>
      <c r="I64" s="616">
        <f>IF(Data!$H$5="Actual", SUM(D64+E64+F64+G64)/4, SUM(D64+E64+F64)/3)</f>
        <v>0</v>
      </c>
      <c r="J64" s="628" t="str">
        <f>IF(I64&lt;&gt;0,IF((G64-I64)/I64&gt;0.15,"Explain",IF((G64-I64)/I64&lt;-0.15,"Explain","")),"")</f>
        <v/>
      </c>
      <c r="K64" s="628" t="str">
        <f>IF(I64&lt;&gt;0,IF((H64-I64)/I64&gt;0.15,"Explain",IF((H64-I64)/I64&lt; -0.15,"Explain","")),"")</f>
        <v/>
      </c>
      <c r="L64" s="228"/>
      <c r="M64" s="78"/>
      <c r="N64" s="57"/>
      <c r="O64" s="57"/>
      <c r="P64" s="57"/>
      <c r="Q64" s="57"/>
      <c r="R64" s="57"/>
    </row>
    <row r="65" spans="1:20" ht="15" customHeight="1" x14ac:dyDescent="0.25">
      <c r="A65" s="78"/>
      <c r="B65" s="599">
        <v>904</v>
      </c>
      <c r="C65" s="580" t="s">
        <v>471</v>
      </c>
      <c r="D65" s="616">
        <f>Data!B45</f>
        <v>0</v>
      </c>
      <c r="E65" s="616">
        <f>Data!C45</f>
        <v>0</v>
      </c>
      <c r="F65" s="616">
        <f>Data!D45</f>
        <v>0</v>
      </c>
      <c r="G65" s="617">
        <f>Data!E45</f>
        <v>0</v>
      </c>
      <c r="H65" s="618">
        <v>0</v>
      </c>
      <c r="I65" s="616">
        <f>IF(Data!$H$5="Actual", SUM(D65+E65+F65+G65)/4, SUM(D65+E65+F65)/3)</f>
        <v>0</v>
      </c>
      <c r="J65" s="628" t="str">
        <f>IF(I65&lt;&gt;0,IF((G65-I65)/I65&gt;0.15,"Explain",IF((G65-I65)/I65&lt;-0.15,"Explain","")),"")</f>
        <v/>
      </c>
      <c r="K65" s="628" t="str">
        <f>IF(I65&lt;&gt;0,IF((H65-I65)/I65&gt;0.15,"Explain",IF((H65-I65)/I65&lt; -0.15,"Explain","")),"")</f>
        <v/>
      </c>
      <c r="L65" s="228"/>
      <c r="M65" s="78"/>
      <c r="N65" s="57"/>
      <c r="O65" s="57"/>
      <c r="P65" s="57"/>
      <c r="Q65" s="57"/>
      <c r="R65" s="57"/>
    </row>
    <row r="66" spans="1:20" ht="15" customHeight="1" x14ac:dyDescent="0.25">
      <c r="A66" s="78"/>
      <c r="B66" s="599">
        <v>906</v>
      </c>
      <c r="C66" s="580" t="s">
        <v>472</v>
      </c>
      <c r="D66" s="616">
        <f>Data!B46</f>
        <v>0</v>
      </c>
      <c r="E66" s="616">
        <f>Data!C46</f>
        <v>0</v>
      </c>
      <c r="F66" s="616">
        <f>Data!D46</f>
        <v>0</v>
      </c>
      <c r="G66" s="617">
        <f>Data!E46</f>
        <v>0</v>
      </c>
      <c r="H66" s="618">
        <v>0</v>
      </c>
      <c r="I66" s="616">
        <f>IF(Data!$H$5="Actual", SUM(D66+E66+F66+G66)/4, SUM(D66+E66+F66)/3)</f>
        <v>0</v>
      </c>
      <c r="J66" s="628" t="str">
        <f>IF(I66&lt;&gt;0,IF((G66-I66)/I66&gt;0.15,"Explain",IF((G66-I66)/I66&lt;-0.15,"Explain","")),"")</f>
        <v/>
      </c>
      <c r="K66" s="628" t="str">
        <f>IF(I66&lt;&gt;0,IF((H66-I66)/I66&gt;0.15,"Explain",IF((H66-I66)/I66&lt; -0.15,"Explain","")),"")</f>
        <v/>
      </c>
      <c r="L66" s="228"/>
      <c r="M66" s="78"/>
      <c r="N66" s="57"/>
      <c r="O66" s="57"/>
      <c r="P66" s="57"/>
      <c r="Q66" s="57"/>
      <c r="R66" s="57"/>
    </row>
    <row r="67" spans="1:20" ht="15" customHeight="1" x14ac:dyDescent="0.25">
      <c r="A67" s="78"/>
      <c r="B67" s="599"/>
      <c r="C67" s="580"/>
      <c r="D67" s="620"/>
      <c r="E67" s="620"/>
      <c r="F67" s="620"/>
      <c r="G67" s="621"/>
      <c r="H67" s="621"/>
      <c r="I67" s="666"/>
      <c r="J67" s="631"/>
      <c r="K67" s="631"/>
      <c r="L67" s="228"/>
      <c r="M67" s="78"/>
      <c r="N67" s="57"/>
      <c r="O67" s="57"/>
      <c r="P67" s="57"/>
      <c r="Q67" s="57"/>
      <c r="R67" s="57"/>
    </row>
    <row r="68" spans="1:20" ht="15" customHeight="1" x14ac:dyDescent="0.25">
      <c r="A68" s="78"/>
      <c r="B68" s="599"/>
      <c r="C68" s="580" t="s">
        <v>473</v>
      </c>
      <c r="D68" s="622">
        <f t="shared" ref="D68:I68" si="6">SUM(D62:D66)</f>
        <v>0</v>
      </c>
      <c r="E68" s="622">
        <f t="shared" si="6"/>
        <v>0</v>
      </c>
      <c r="F68" s="622">
        <f t="shared" si="6"/>
        <v>0</v>
      </c>
      <c r="G68" s="622">
        <f t="shared" si="6"/>
        <v>0</v>
      </c>
      <c r="H68" s="622">
        <f t="shared" si="6"/>
        <v>0</v>
      </c>
      <c r="I68" s="622">
        <f t="shared" si="6"/>
        <v>0</v>
      </c>
      <c r="J68" s="631"/>
      <c r="K68" s="631"/>
      <c r="L68" s="228"/>
      <c r="M68" s="78"/>
      <c r="N68" s="57"/>
      <c r="O68" s="57"/>
      <c r="P68" s="57"/>
      <c r="Q68" s="57"/>
      <c r="R68" s="57"/>
    </row>
    <row r="69" spans="1:20" ht="15" customHeight="1" x14ac:dyDescent="0.25">
      <c r="A69" s="78"/>
      <c r="B69" s="599"/>
      <c r="C69" s="580"/>
      <c r="D69" s="620"/>
      <c r="E69" s="620"/>
      <c r="F69" s="620"/>
      <c r="G69" s="621"/>
      <c r="H69" s="621"/>
      <c r="I69" s="666"/>
      <c r="J69" s="631"/>
      <c r="K69" s="631"/>
      <c r="L69" s="228"/>
      <c r="M69" s="78"/>
      <c r="N69" s="57"/>
      <c r="O69" s="57"/>
      <c r="P69" s="57"/>
      <c r="Q69" s="57"/>
      <c r="R69" s="57"/>
    </row>
    <row r="70" spans="1:20" ht="15" customHeight="1" x14ac:dyDescent="0.25">
      <c r="A70" s="78"/>
      <c r="B70" s="599">
        <v>910</v>
      </c>
      <c r="C70" s="580" t="s">
        <v>474</v>
      </c>
      <c r="D70" s="622">
        <f>Data!B47</f>
        <v>0</v>
      </c>
      <c r="E70" s="622">
        <f>Data!C47</f>
        <v>0</v>
      </c>
      <c r="F70" s="622">
        <f>Data!D47</f>
        <v>0</v>
      </c>
      <c r="G70" s="667">
        <f>Data!E47</f>
        <v>0</v>
      </c>
      <c r="H70" s="674">
        <v>0</v>
      </c>
      <c r="I70" s="622">
        <f>IF(Data!$H$5="Actual", SUM(D70+E70+F70+G70)/4, SUM(D70+E70+F70)/3)</f>
        <v>0</v>
      </c>
      <c r="J70" s="628" t="str">
        <f>IF(I70&lt;&gt;0,IF((G70-I70)/I70&gt;0.15,"Explain",IF((G70-I70)/I70&lt;-0.15,"Explain","")),"")</f>
        <v/>
      </c>
      <c r="K70" s="628" t="str">
        <f>IF(I70&lt;&gt;0,IF((H70-I70)/I70&gt;0.15,"Explain",IF((H70-I70)/I70&lt; -0.15,"Explain","")),"")</f>
        <v/>
      </c>
      <c r="L70" s="228"/>
      <c r="M70" s="78"/>
      <c r="N70" s="57"/>
      <c r="O70" s="57"/>
      <c r="P70" s="57"/>
      <c r="Q70" s="57"/>
      <c r="R70" s="57"/>
    </row>
    <row r="71" spans="1:20" ht="15" customHeight="1" x14ac:dyDescent="0.25">
      <c r="A71" s="78"/>
      <c r="B71" s="668"/>
      <c r="C71" s="580"/>
      <c r="D71" s="616"/>
      <c r="E71" s="616"/>
      <c r="F71" s="616"/>
      <c r="G71" s="491"/>
      <c r="H71" s="491"/>
      <c r="I71" s="614"/>
      <c r="J71" s="598"/>
      <c r="K71" s="631"/>
      <c r="L71" s="228"/>
      <c r="M71" s="78"/>
      <c r="N71" s="57"/>
      <c r="O71" s="57"/>
      <c r="P71" s="57"/>
      <c r="Q71" s="57"/>
      <c r="R71" s="57"/>
    </row>
    <row r="72" spans="1:20" ht="15" customHeight="1" x14ac:dyDescent="0.25">
      <c r="A72" s="78"/>
      <c r="B72" s="669">
        <v>920</v>
      </c>
      <c r="C72" s="580" t="s">
        <v>475</v>
      </c>
      <c r="D72" s="613">
        <f>Data!B48</f>
        <v>0</v>
      </c>
      <c r="E72" s="613">
        <f>Data!C48</f>
        <v>0</v>
      </c>
      <c r="F72" s="613">
        <f>Data!D48</f>
        <v>0</v>
      </c>
      <c r="G72" s="614">
        <f>Data!E48</f>
        <v>0</v>
      </c>
      <c r="H72" s="615">
        <v>0</v>
      </c>
      <c r="I72" s="613">
        <f>IF(Data!$H$5="Actual", SUM(D72+E72+F72+G72)/4, SUM(D72+E72+F72)/3)</f>
        <v>0</v>
      </c>
      <c r="J72" s="628" t="str">
        <f t="shared" ref="J72:J82" si="7">IF(I72&lt;&gt;0,IF((G72-I72)/I72&gt;0.15,"Explain",IF((G72-I72)/I72&lt;-0.15,"Explain","")),"")</f>
        <v/>
      </c>
      <c r="K72" s="628" t="str">
        <f t="shared" ref="K72:K82" si="8">IF(I72&lt;&gt;0,IF((H72-I72)/I72&gt;0.15,"Explain",IF((H72-I72)/I72&lt; -0.15,"Explain","")),"")</f>
        <v/>
      </c>
      <c r="L72" s="228"/>
      <c r="M72" s="78"/>
      <c r="N72" s="57"/>
      <c r="O72" s="57"/>
      <c r="P72" s="57"/>
      <c r="Q72" s="57"/>
      <c r="R72" s="57"/>
    </row>
    <row r="73" spans="1:20" ht="15" customHeight="1" x14ac:dyDescent="0.25">
      <c r="A73" s="78"/>
      <c r="B73" s="599">
        <v>921</v>
      </c>
      <c r="C73" s="580" t="s">
        <v>476</v>
      </c>
      <c r="D73" s="616">
        <f>Data!B49</f>
        <v>0</v>
      </c>
      <c r="E73" s="616">
        <f>Data!C49</f>
        <v>0</v>
      </c>
      <c r="F73" s="616">
        <f>Data!D49</f>
        <v>0</v>
      </c>
      <c r="G73" s="617">
        <f>Data!E49</f>
        <v>0</v>
      </c>
      <c r="H73" s="618">
        <v>0</v>
      </c>
      <c r="I73" s="616">
        <f>IF(Data!$H$5="Actual", SUM(D73+E73+F73+G73)/4, SUM(D73+E73+F73)/3)</f>
        <v>0</v>
      </c>
      <c r="J73" s="628" t="str">
        <f t="shared" si="7"/>
        <v/>
      </c>
      <c r="K73" s="628" t="str">
        <f t="shared" si="8"/>
        <v/>
      </c>
      <c r="L73" s="228"/>
      <c r="M73" s="78"/>
      <c r="N73" s="57"/>
      <c r="O73" s="57"/>
      <c r="P73" s="57"/>
      <c r="Q73" s="57"/>
      <c r="R73" s="57"/>
    </row>
    <row r="74" spans="1:20" ht="15" customHeight="1" x14ac:dyDescent="0.25">
      <c r="A74" s="78"/>
      <c r="B74" s="599">
        <v>922</v>
      </c>
      <c r="C74" s="580" t="s">
        <v>477</v>
      </c>
      <c r="D74" s="616">
        <f>Data!B50</f>
        <v>0</v>
      </c>
      <c r="E74" s="616">
        <f>Data!C50</f>
        <v>0</v>
      </c>
      <c r="F74" s="616">
        <f>Data!D50</f>
        <v>0</v>
      </c>
      <c r="G74" s="617">
        <f>Data!E50</f>
        <v>0</v>
      </c>
      <c r="H74" s="618">
        <v>0</v>
      </c>
      <c r="I74" s="616">
        <f>IF(Data!$H$5="Actual", SUM(D74+E74+F74+G74)/4, SUM(D74+E74+F74)/3)</f>
        <v>0</v>
      </c>
      <c r="J74" s="628" t="str">
        <f t="shared" si="7"/>
        <v/>
      </c>
      <c r="K74" s="628" t="str">
        <f t="shared" si="8"/>
        <v/>
      </c>
      <c r="L74" s="228"/>
      <c r="M74" s="78"/>
      <c r="N74" s="57"/>
      <c r="O74" s="57"/>
      <c r="P74" s="57"/>
      <c r="Q74" s="57"/>
      <c r="R74" s="57"/>
    </row>
    <row r="75" spans="1:20" ht="15" customHeight="1" x14ac:dyDescent="0.25">
      <c r="A75" s="78"/>
      <c r="B75" s="599">
        <v>923</v>
      </c>
      <c r="C75" s="580" t="s">
        <v>478</v>
      </c>
      <c r="D75" s="616">
        <f>Data!B51</f>
        <v>0</v>
      </c>
      <c r="E75" s="616">
        <f>Data!C51</f>
        <v>0</v>
      </c>
      <c r="F75" s="616">
        <f>Data!D51</f>
        <v>0</v>
      </c>
      <c r="G75" s="617">
        <f>Data!E51</f>
        <v>0</v>
      </c>
      <c r="H75" s="618">
        <v>0</v>
      </c>
      <c r="I75" s="616">
        <f>IF(Data!$H$5="Actual", SUM(D75+E75+F75+G75)/4, SUM(D75+E75+F75)/3)</f>
        <v>0</v>
      </c>
      <c r="J75" s="628" t="str">
        <f t="shared" si="7"/>
        <v/>
      </c>
      <c r="K75" s="628" t="str">
        <f t="shared" si="8"/>
        <v/>
      </c>
      <c r="L75" s="228"/>
      <c r="M75" s="78"/>
      <c r="N75" s="57"/>
      <c r="O75" s="57"/>
      <c r="P75" s="57"/>
      <c r="Q75" s="57"/>
      <c r="R75" s="57"/>
    </row>
    <row r="76" spans="1:20" ht="15" customHeight="1" x14ac:dyDescent="0.25">
      <c r="A76" s="78"/>
      <c r="B76" s="599">
        <v>924</v>
      </c>
      <c r="C76" s="580" t="s">
        <v>479</v>
      </c>
      <c r="D76" s="616">
        <f>Data!B52</f>
        <v>0</v>
      </c>
      <c r="E76" s="616">
        <f>Data!C52</f>
        <v>0</v>
      </c>
      <c r="F76" s="616">
        <f>Data!D52</f>
        <v>0</v>
      </c>
      <c r="G76" s="617">
        <f>Data!E52</f>
        <v>0</v>
      </c>
      <c r="H76" s="618">
        <v>0</v>
      </c>
      <c r="I76" s="616">
        <f>IF(Data!$H$5="Actual", SUM(D76+E76+F76+G76)/4, SUM(D76+E76+F76)/3)</f>
        <v>0</v>
      </c>
      <c r="J76" s="628" t="str">
        <f t="shared" si="7"/>
        <v/>
      </c>
      <c r="K76" s="628" t="str">
        <f t="shared" si="8"/>
        <v/>
      </c>
      <c r="L76" s="228"/>
      <c r="M76" s="78"/>
      <c r="N76" s="57"/>
      <c r="O76" s="57"/>
      <c r="P76" s="57"/>
      <c r="Q76" s="57"/>
      <c r="R76" s="57"/>
    </row>
    <row r="77" spans="1:20" ht="15" customHeight="1" x14ac:dyDescent="0.25">
      <c r="A77" s="78"/>
      <c r="B77" s="599">
        <v>925</v>
      </c>
      <c r="C77" s="580" t="s">
        <v>480</v>
      </c>
      <c r="D77" s="616">
        <f>Data!B53</f>
        <v>0</v>
      </c>
      <c r="E77" s="616">
        <f>Data!C53</f>
        <v>0</v>
      </c>
      <c r="F77" s="616">
        <f>Data!D53</f>
        <v>0</v>
      </c>
      <c r="G77" s="617">
        <f>Data!E53</f>
        <v>0</v>
      </c>
      <c r="H77" s="618">
        <v>0</v>
      </c>
      <c r="I77" s="616">
        <f>IF(Data!$H$5="Actual", SUM(D77+E77+F77+G77)/4, SUM(D77+E77+F77)/3)</f>
        <v>0</v>
      </c>
      <c r="J77" s="628" t="str">
        <f t="shared" si="7"/>
        <v/>
      </c>
      <c r="K77" s="628" t="str">
        <f t="shared" si="8"/>
        <v/>
      </c>
      <c r="L77" s="228"/>
      <c r="M77" s="78"/>
      <c r="N77" s="57"/>
      <c r="O77" s="57"/>
      <c r="P77" s="57"/>
      <c r="Q77" s="57"/>
      <c r="R77" s="57"/>
    </row>
    <row r="78" spans="1:20" ht="15" customHeight="1" x14ac:dyDescent="0.25">
      <c r="A78" s="78"/>
      <c r="B78" s="599">
        <v>926</v>
      </c>
      <c r="C78" s="580" t="s">
        <v>481</v>
      </c>
      <c r="D78" s="616">
        <f>Data!B54</f>
        <v>0</v>
      </c>
      <c r="E78" s="616">
        <f>Data!C54</f>
        <v>0</v>
      </c>
      <c r="F78" s="616">
        <f>Data!D54</f>
        <v>0</v>
      </c>
      <c r="G78" s="617">
        <f>Data!E54</f>
        <v>0</v>
      </c>
      <c r="H78" s="618">
        <v>0</v>
      </c>
      <c r="I78" s="616">
        <f>IF(Data!$H$5="Actual", SUM(D78+E78+F78+G78)/4, SUM(D78+E78+F78)/3)</f>
        <v>0</v>
      </c>
      <c r="J78" s="628" t="str">
        <f t="shared" si="7"/>
        <v/>
      </c>
      <c r="K78" s="628" t="str">
        <f t="shared" si="8"/>
        <v/>
      </c>
      <c r="L78" s="228"/>
      <c r="M78" s="78"/>
      <c r="N78" s="57"/>
      <c r="O78" s="57"/>
      <c r="P78" s="57"/>
      <c r="Q78" s="57"/>
      <c r="R78" s="57"/>
    </row>
    <row r="79" spans="1:20" s="42" customFormat="1" ht="15" customHeight="1" x14ac:dyDescent="0.25">
      <c r="A79" s="180"/>
      <c r="B79" s="599">
        <v>928</v>
      </c>
      <c r="C79" s="580" t="s">
        <v>482</v>
      </c>
      <c r="D79" s="616">
        <f>Data!B55</f>
        <v>0</v>
      </c>
      <c r="E79" s="616">
        <f>Data!C55</f>
        <v>0</v>
      </c>
      <c r="F79" s="616">
        <f>Data!D55</f>
        <v>0</v>
      </c>
      <c r="G79" s="617">
        <f>Data!E55</f>
        <v>0</v>
      </c>
      <c r="H79" s="485">
        <v>0</v>
      </c>
      <c r="I79" s="616">
        <f>IF(Data!$H$5="Actual", SUM(D79+E79+F79+G79)/4, SUM(D79+E79+F79)/3)</f>
        <v>0</v>
      </c>
      <c r="J79" s="628" t="str">
        <f t="shared" si="7"/>
        <v/>
      </c>
      <c r="K79" s="628" t="str">
        <f t="shared" si="8"/>
        <v/>
      </c>
      <c r="L79" s="228"/>
      <c r="M79" s="180"/>
      <c r="N79" s="1106"/>
      <c r="O79" s="1106"/>
      <c r="P79" s="1106"/>
      <c r="Q79" s="1106"/>
      <c r="R79" s="1106"/>
      <c r="S79" s="1106"/>
      <c r="T79" s="1106"/>
    </row>
    <row r="80" spans="1:20" ht="15" customHeight="1" x14ac:dyDescent="0.25">
      <c r="A80" s="78"/>
      <c r="B80" s="599">
        <v>930</v>
      </c>
      <c r="C80" s="580" t="s">
        <v>483</v>
      </c>
      <c r="D80" s="616">
        <f>Data!B56</f>
        <v>0</v>
      </c>
      <c r="E80" s="616">
        <f>Data!C56</f>
        <v>0</v>
      </c>
      <c r="F80" s="616">
        <f>Data!D56</f>
        <v>0</v>
      </c>
      <c r="G80" s="617">
        <f>Data!E56</f>
        <v>0</v>
      </c>
      <c r="H80" s="618">
        <v>0</v>
      </c>
      <c r="I80" s="616">
        <f>IF(Data!$H$5="Actual", SUM(D80+E80+F80+G80)/4, SUM(D80+E80+F80)/3)</f>
        <v>0</v>
      </c>
      <c r="J80" s="628" t="str">
        <f t="shared" si="7"/>
        <v/>
      </c>
      <c r="K80" s="628" t="str">
        <f t="shared" si="8"/>
        <v/>
      </c>
      <c r="L80" s="228"/>
      <c r="M80" s="78"/>
      <c r="N80" s="57"/>
      <c r="O80" s="57"/>
      <c r="P80" s="57"/>
      <c r="Q80" s="57"/>
      <c r="R80" s="57"/>
    </row>
    <row r="81" spans="1:18" ht="15" customHeight="1" x14ac:dyDescent="0.25">
      <c r="A81" s="78"/>
      <c r="B81" s="599">
        <v>933</v>
      </c>
      <c r="C81" s="580" t="s">
        <v>484</v>
      </c>
      <c r="D81" s="616">
        <f>Data!B57</f>
        <v>0</v>
      </c>
      <c r="E81" s="616">
        <f>Data!C57</f>
        <v>0</v>
      </c>
      <c r="F81" s="616">
        <f>Data!D57</f>
        <v>0</v>
      </c>
      <c r="G81" s="617">
        <f>Data!E57</f>
        <v>0</v>
      </c>
      <c r="H81" s="618">
        <v>0</v>
      </c>
      <c r="I81" s="616">
        <f>IF(Data!$H$5="Actual", SUM(D81+E81+F81+G81)/4, SUM(D81+E81+F81)/3)</f>
        <v>0</v>
      </c>
      <c r="J81" s="628" t="str">
        <f t="shared" si="7"/>
        <v/>
      </c>
      <c r="K81" s="628" t="str">
        <f t="shared" si="8"/>
        <v/>
      </c>
      <c r="L81" s="228"/>
      <c r="M81" s="78"/>
      <c r="N81" s="57"/>
      <c r="O81" s="57"/>
      <c r="P81" s="57"/>
      <c r="Q81" s="57"/>
      <c r="R81" s="57"/>
    </row>
    <row r="82" spans="1:18" ht="15" customHeight="1" x14ac:dyDescent="0.25">
      <c r="A82" s="78"/>
      <c r="B82" s="599">
        <v>935</v>
      </c>
      <c r="C82" s="580" t="s">
        <v>485</v>
      </c>
      <c r="D82" s="616">
        <f>Data!B58</f>
        <v>0</v>
      </c>
      <c r="E82" s="616">
        <f>Data!C58</f>
        <v>0</v>
      </c>
      <c r="F82" s="616">
        <f>Data!D58</f>
        <v>0</v>
      </c>
      <c r="G82" s="617">
        <f>Data!E58</f>
        <v>0</v>
      </c>
      <c r="H82" s="618">
        <v>0</v>
      </c>
      <c r="I82" s="616">
        <f>IF(Data!$H$5="Actual", SUM(D82+E82+F82+G82)/4, SUM(D82+E82+F82)/3)</f>
        <v>0</v>
      </c>
      <c r="J82" s="628" t="str">
        <f t="shared" si="7"/>
        <v/>
      </c>
      <c r="K82" s="628" t="str">
        <f t="shared" si="8"/>
        <v/>
      </c>
      <c r="L82" s="228"/>
      <c r="M82" s="78"/>
      <c r="N82" s="57"/>
      <c r="O82" s="57"/>
      <c r="P82" s="57"/>
      <c r="Q82" s="57"/>
      <c r="R82" s="57"/>
    </row>
    <row r="83" spans="1:18" ht="15" customHeight="1" x14ac:dyDescent="0.25">
      <c r="A83" s="78"/>
      <c r="B83" s="599"/>
      <c r="C83" s="580"/>
      <c r="D83" s="620"/>
      <c r="E83" s="620"/>
      <c r="F83" s="620"/>
      <c r="G83" s="621"/>
      <c r="H83" s="621"/>
      <c r="I83" s="666"/>
      <c r="J83" s="631"/>
      <c r="K83" s="631"/>
      <c r="L83" s="228"/>
      <c r="M83" s="78"/>
      <c r="N83" s="57"/>
      <c r="O83" s="57"/>
      <c r="P83" s="57"/>
      <c r="Q83" s="57"/>
      <c r="R83" s="57"/>
    </row>
    <row r="84" spans="1:18" ht="15" customHeight="1" x14ac:dyDescent="0.25">
      <c r="A84" s="78"/>
      <c r="B84" s="670"/>
      <c r="C84" s="580" t="s">
        <v>486</v>
      </c>
      <c r="D84" s="622">
        <f t="shared" ref="D84:I84" si="9">SUM(D72:D73)-D74+SUM(D75:D82)</f>
        <v>0</v>
      </c>
      <c r="E84" s="622">
        <f t="shared" si="9"/>
        <v>0</v>
      </c>
      <c r="F84" s="622">
        <f t="shared" si="9"/>
        <v>0</v>
      </c>
      <c r="G84" s="622">
        <f t="shared" si="9"/>
        <v>0</v>
      </c>
      <c r="H84" s="622">
        <f t="shared" si="9"/>
        <v>0</v>
      </c>
      <c r="I84" s="622">
        <f t="shared" si="9"/>
        <v>0</v>
      </c>
      <c r="J84" s="631"/>
      <c r="K84" s="631"/>
      <c r="L84" s="672"/>
      <c r="M84" s="78"/>
      <c r="N84" s="57"/>
      <c r="O84" s="57"/>
      <c r="P84" s="57"/>
      <c r="Q84" s="57"/>
      <c r="R84" s="57"/>
    </row>
    <row r="85" spans="1:18" ht="15" customHeight="1" x14ac:dyDescent="0.25">
      <c r="A85" s="78"/>
      <c r="B85" s="670"/>
      <c r="C85" s="580"/>
      <c r="D85" s="620"/>
      <c r="E85" s="620"/>
      <c r="F85" s="620"/>
      <c r="G85" s="621"/>
      <c r="H85" s="621"/>
      <c r="I85" s="666"/>
      <c r="J85" s="631"/>
      <c r="K85" s="631"/>
      <c r="L85" s="228"/>
      <c r="M85" s="78"/>
      <c r="N85" s="57"/>
      <c r="O85" s="57"/>
      <c r="P85" s="57"/>
      <c r="Q85" s="57"/>
      <c r="R85" s="57"/>
    </row>
    <row r="86" spans="1:18" ht="15" customHeight="1" thickBot="1" x14ac:dyDescent="0.3">
      <c r="A86" s="78"/>
      <c r="B86" s="670"/>
      <c r="C86" s="580" t="s">
        <v>487</v>
      </c>
      <c r="D86" s="546">
        <f t="shared" ref="D86:I86" si="10">ROUND(SUM(D20+D28+D35+D46+D68+D70+D84),0)</f>
        <v>228655</v>
      </c>
      <c r="E86" s="546">
        <f t="shared" si="10"/>
        <v>283625</v>
      </c>
      <c r="F86" s="546">
        <f t="shared" si="10"/>
        <v>293982</v>
      </c>
      <c r="G86" s="546">
        <f t="shared" si="10"/>
        <v>0</v>
      </c>
      <c r="H86" s="546">
        <f t="shared" si="10"/>
        <v>0</v>
      </c>
      <c r="I86" s="546">
        <f t="shared" si="10"/>
        <v>268754</v>
      </c>
      <c r="J86" s="631"/>
      <c r="K86" s="631"/>
      <c r="L86" s="672"/>
      <c r="M86" s="78"/>
      <c r="N86" s="57"/>
      <c r="O86" s="57"/>
      <c r="P86" s="57"/>
      <c r="Q86" s="57"/>
      <c r="R86" s="57"/>
    </row>
    <row r="87" spans="1:18" ht="14.4" thickTop="1" x14ac:dyDescent="0.25">
      <c r="A87" s="78"/>
      <c r="B87" s="670"/>
      <c r="C87" s="580"/>
      <c r="D87" s="617"/>
      <c r="E87" s="617"/>
      <c r="F87" s="617"/>
      <c r="G87" s="617"/>
      <c r="H87" s="491"/>
      <c r="I87" s="491"/>
      <c r="J87" s="631"/>
      <c r="K87" s="631"/>
      <c r="L87" s="228"/>
      <c r="M87" s="78"/>
      <c r="N87" s="57"/>
      <c r="O87" s="57"/>
      <c r="P87" s="57"/>
      <c r="Q87" s="57"/>
      <c r="R87" s="57"/>
    </row>
    <row r="88" spans="1:18" x14ac:dyDescent="0.25">
      <c r="A88" s="78"/>
      <c r="B88" s="595"/>
      <c r="C88" s="569"/>
      <c r="D88" s="641"/>
      <c r="E88" s="641"/>
      <c r="F88" s="641"/>
      <c r="G88" s="641"/>
      <c r="H88" s="480"/>
      <c r="I88" s="480"/>
      <c r="J88" s="631"/>
      <c r="K88" s="631"/>
      <c r="L88" s="228"/>
      <c r="M88" s="78"/>
      <c r="N88" s="57"/>
      <c r="O88" s="57"/>
      <c r="P88" s="57"/>
      <c r="Q88" s="57"/>
      <c r="R88" s="57"/>
    </row>
    <row r="89" spans="1:18" ht="15.75" customHeight="1" x14ac:dyDescent="0.25">
      <c r="A89" s="78"/>
      <c r="B89" s="647" t="s">
        <v>340</v>
      </c>
      <c r="C89" s="673" t="str">
        <f>CONCATENATE("All ",TestYear-1," and test year ",TestYear," estimates that vary from the three year average by")</f>
        <v>All 2022 and test year 2023 estimates that vary from the three year average by</v>
      </c>
      <c r="D89" s="648"/>
      <c r="E89" s="648"/>
      <c r="F89" s="569"/>
      <c r="G89" s="569"/>
      <c r="H89" s="477"/>
      <c r="I89" s="477"/>
      <c r="J89" s="598"/>
      <c r="K89" s="598"/>
      <c r="L89" s="228"/>
      <c r="M89" s="78"/>
      <c r="N89" s="57"/>
      <c r="O89" s="57"/>
      <c r="P89" s="57"/>
      <c r="Q89" s="57"/>
      <c r="R89" s="57"/>
    </row>
    <row r="90" spans="1:18" ht="15.75" customHeight="1" x14ac:dyDescent="0.25">
      <c r="A90" s="78"/>
      <c r="B90" s="649"/>
      <c r="C90" s="648" t="s">
        <v>855</v>
      </c>
      <c r="D90" s="648"/>
      <c r="E90" s="648"/>
      <c r="F90" s="639"/>
      <c r="G90" s="639"/>
      <c r="H90" s="538"/>
      <c r="I90" s="538"/>
      <c r="J90" s="631"/>
      <c r="K90" s="631"/>
      <c r="L90" s="228"/>
      <c r="M90" s="78"/>
      <c r="N90" s="57"/>
      <c r="O90" s="57"/>
      <c r="P90" s="57"/>
      <c r="Q90" s="57"/>
      <c r="R90" s="57"/>
    </row>
    <row r="91" spans="1:18" ht="15.75" customHeight="1" x14ac:dyDescent="0.25">
      <c r="A91" s="78"/>
      <c r="B91" s="633"/>
      <c r="C91" s="531"/>
      <c r="D91" s="533"/>
      <c r="E91" s="533"/>
      <c r="F91" s="533"/>
      <c r="G91" s="533"/>
      <c r="H91" s="533"/>
      <c r="I91" s="533"/>
      <c r="J91" s="598"/>
      <c r="K91" s="598"/>
      <c r="L91" s="228"/>
      <c r="M91" s="78"/>
      <c r="N91" s="57"/>
      <c r="O91" s="57"/>
      <c r="P91" s="57"/>
      <c r="Q91" s="57"/>
      <c r="R91" s="57"/>
    </row>
    <row r="92" spans="1:18" ht="13.8" thickBot="1" x14ac:dyDescent="0.3">
      <c r="A92" s="78"/>
      <c r="B92" s="634"/>
      <c r="C92" s="231"/>
      <c r="D92" s="231"/>
      <c r="E92" s="231"/>
      <c r="F92" s="231"/>
      <c r="G92" s="606"/>
      <c r="H92" s="231"/>
      <c r="I92" s="231"/>
      <c r="J92" s="608"/>
      <c r="K92" s="608"/>
      <c r="L92" s="232"/>
      <c r="M92" s="78"/>
      <c r="N92" s="57"/>
      <c r="O92" s="57"/>
      <c r="P92" s="57"/>
      <c r="Q92" s="57"/>
      <c r="R92" s="57"/>
    </row>
    <row r="93" spans="1:18" ht="13.8" thickTop="1" x14ac:dyDescent="0.25">
      <c r="A93" s="78"/>
      <c r="B93" s="468"/>
      <c r="C93" s="78"/>
      <c r="D93" s="78"/>
      <c r="E93" s="78"/>
      <c r="F93" s="78"/>
      <c r="G93" s="79"/>
      <c r="H93" s="78"/>
      <c r="I93" s="78"/>
      <c r="J93" s="553"/>
      <c r="K93" s="553"/>
      <c r="L93" s="78"/>
      <c r="M93" s="78"/>
      <c r="N93" s="57"/>
      <c r="O93" s="57"/>
      <c r="P93" s="57"/>
      <c r="Q93" s="57"/>
      <c r="R93" s="57"/>
    </row>
    <row r="94" spans="1:18" x14ac:dyDescent="0.25">
      <c r="A94" s="78"/>
      <c r="B94" s="2501" t="s">
        <v>1232</v>
      </c>
      <c r="C94" s="2502"/>
      <c r="D94" s="2502"/>
      <c r="E94" s="2502"/>
      <c r="F94" s="2502"/>
      <c r="G94" s="2502"/>
      <c r="H94" s="2502"/>
      <c r="I94" s="2502"/>
      <c r="J94" s="2502"/>
      <c r="K94" s="2502"/>
      <c r="L94" s="2503"/>
      <c r="M94" s="78"/>
      <c r="N94" s="57"/>
      <c r="O94" s="57"/>
      <c r="P94" s="57"/>
      <c r="Q94" s="57"/>
      <c r="R94" s="57"/>
    </row>
    <row r="95" spans="1:18" x14ac:dyDescent="0.25">
      <c r="A95" s="78"/>
      <c r="B95" s="2504"/>
      <c r="C95" s="2505"/>
      <c r="D95" s="2505"/>
      <c r="E95" s="2505"/>
      <c r="F95" s="2505"/>
      <c r="G95" s="2505"/>
      <c r="H95" s="2505"/>
      <c r="I95" s="2505"/>
      <c r="J95" s="2505"/>
      <c r="K95" s="2505"/>
      <c r="L95" s="2506"/>
      <c r="M95" s="78"/>
      <c r="N95" s="57"/>
      <c r="O95" s="57"/>
      <c r="P95" s="57"/>
      <c r="Q95" s="57"/>
      <c r="R95" s="57"/>
    </row>
    <row r="96" spans="1:18" x14ac:dyDescent="0.25">
      <c r="A96" s="78"/>
      <c r="B96" s="1851"/>
      <c r="C96" s="2524"/>
      <c r="D96" s="2508"/>
      <c r="E96" s="2508"/>
      <c r="F96" s="2508"/>
      <c r="G96" s="2508"/>
      <c r="H96" s="2508"/>
      <c r="I96" s="2508"/>
      <c r="J96" s="2508"/>
      <c r="K96" s="2509"/>
      <c r="L96" s="1860"/>
      <c r="M96" s="78"/>
      <c r="N96" s="57"/>
      <c r="O96" s="57"/>
      <c r="P96" s="57"/>
      <c r="Q96" s="57"/>
      <c r="R96" s="57"/>
    </row>
    <row r="97" spans="1:20" x14ac:dyDescent="0.25">
      <c r="A97" s="78"/>
      <c r="B97" s="1851"/>
      <c r="C97" s="2510"/>
      <c r="D97" s="2511"/>
      <c r="E97" s="2511"/>
      <c r="F97" s="2511"/>
      <c r="G97" s="2511"/>
      <c r="H97" s="2511"/>
      <c r="I97" s="2511"/>
      <c r="J97" s="2511"/>
      <c r="K97" s="2512"/>
      <c r="L97" s="1860"/>
      <c r="M97" s="78"/>
      <c r="N97" s="57"/>
      <c r="O97" s="57"/>
      <c r="P97" s="57"/>
      <c r="Q97" s="57"/>
      <c r="R97" s="57"/>
    </row>
    <row r="98" spans="1:20" x14ac:dyDescent="0.25">
      <c r="A98" s="78"/>
      <c r="B98" s="1851"/>
      <c r="C98" s="2510"/>
      <c r="D98" s="2511"/>
      <c r="E98" s="2511"/>
      <c r="F98" s="2511"/>
      <c r="G98" s="2511"/>
      <c r="H98" s="2511"/>
      <c r="I98" s="2511"/>
      <c r="J98" s="2511"/>
      <c r="K98" s="2512"/>
      <c r="L98" s="1860"/>
      <c r="M98" s="78"/>
      <c r="N98" s="57"/>
      <c r="O98" s="57"/>
      <c r="P98" s="57"/>
      <c r="Q98" s="57"/>
      <c r="R98" s="57"/>
    </row>
    <row r="99" spans="1:20" x14ac:dyDescent="0.25">
      <c r="A99" s="78"/>
      <c r="B99" s="1851"/>
      <c r="C99" s="2510"/>
      <c r="D99" s="2511"/>
      <c r="E99" s="2511"/>
      <c r="F99" s="2511"/>
      <c r="G99" s="2511"/>
      <c r="H99" s="2511"/>
      <c r="I99" s="2511"/>
      <c r="J99" s="2511"/>
      <c r="K99" s="2512"/>
      <c r="L99" s="1860"/>
      <c r="M99" s="78"/>
      <c r="N99" s="57"/>
      <c r="O99" s="57"/>
      <c r="P99" s="57"/>
      <c r="Q99" s="57"/>
      <c r="R99" s="57"/>
    </row>
    <row r="100" spans="1:20" x14ac:dyDescent="0.25">
      <c r="A100" s="78"/>
      <c r="B100" s="1851"/>
      <c r="C100" s="2510"/>
      <c r="D100" s="2511"/>
      <c r="E100" s="2511"/>
      <c r="F100" s="2511"/>
      <c r="G100" s="2511"/>
      <c r="H100" s="2511"/>
      <c r="I100" s="2511"/>
      <c r="J100" s="2511"/>
      <c r="K100" s="2512"/>
      <c r="L100" s="1860"/>
      <c r="M100" s="78"/>
      <c r="N100" s="57"/>
      <c r="O100" s="57"/>
      <c r="P100" s="57"/>
      <c r="Q100" s="57"/>
      <c r="R100" s="57"/>
    </row>
    <row r="101" spans="1:20" x14ac:dyDescent="0.25">
      <c r="A101" s="78"/>
      <c r="B101" s="1851"/>
      <c r="C101" s="2510"/>
      <c r="D101" s="2511"/>
      <c r="E101" s="2511"/>
      <c r="F101" s="2511"/>
      <c r="G101" s="2511"/>
      <c r="H101" s="2511"/>
      <c r="I101" s="2511"/>
      <c r="J101" s="2511"/>
      <c r="K101" s="2512"/>
      <c r="L101" s="1860"/>
      <c r="M101" s="78"/>
      <c r="N101" s="57"/>
      <c r="O101" s="57"/>
      <c r="P101" s="57"/>
      <c r="Q101" s="57"/>
      <c r="R101" s="57"/>
    </row>
    <row r="102" spans="1:20" x14ac:dyDescent="0.25">
      <c r="A102" s="78"/>
      <c r="B102" s="1851"/>
      <c r="C102" s="2510"/>
      <c r="D102" s="2511"/>
      <c r="E102" s="2511"/>
      <c r="F102" s="2511"/>
      <c r="G102" s="2511"/>
      <c r="H102" s="2511"/>
      <c r="I102" s="2511"/>
      <c r="J102" s="2511"/>
      <c r="K102" s="2512"/>
      <c r="L102" s="1860"/>
      <c r="M102" s="78"/>
      <c r="N102" s="57"/>
      <c r="O102" s="57"/>
      <c r="P102" s="57"/>
      <c r="Q102" s="57"/>
      <c r="R102" s="57"/>
    </row>
    <row r="103" spans="1:20" x14ac:dyDescent="0.25">
      <c r="A103" s="78"/>
      <c r="B103" s="1851"/>
      <c r="C103" s="2510"/>
      <c r="D103" s="2511"/>
      <c r="E103" s="2511"/>
      <c r="F103" s="2511"/>
      <c r="G103" s="2511"/>
      <c r="H103" s="2511"/>
      <c r="I103" s="2511"/>
      <c r="J103" s="2511"/>
      <c r="K103" s="2512"/>
      <c r="L103" s="1860"/>
      <c r="M103" s="78"/>
      <c r="N103" s="57"/>
      <c r="O103" s="57"/>
      <c r="P103" s="57"/>
      <c r="Q103" s="57"/>
      <c r="R103" s="57"/>
    </row>
    <row r="104" spans="1:20" x14ac:dyDescent="0.25">
      <c r="A104" s="78"/>
      <c r="B104" s="1851"/>
      <c r="C104" s="2510"/>
      <c r="D104" s="2511"/>
      <c r="E104" s="2511"/>
      <c r="F104" s="2511"/>
      <c r="G104" s="2511"/>
      <c r="H104" s="2511"/>
      <c r="I104" s="2511"/>
      <c r="J104" s="2511"/>
      <c r="K104" s="2512"/>
      <c r="L104" s="1860"/>
      <c r="M104" s="78"/>
      <c r="N104" s="57"/>
      <c r="O104" s="57"/>
      <c r="P104" s="57"/>
      <c r="Q104" s="57"/>
      <c r="R104" s="57"/>
    </row>
    <row r="105" spans="1:20" x14ac:dyDescent="0.25">
      <c r="A105" s="78"/>
      <c r="B105" s="1851"/>
      <c r="C105" s="2510"/>
      <c r="D105" s="2511"/>
      <c r="E105" s="2511"/>
      <c r="F105" s="2511"/>
      <c r="G105" s="2511"/>
      <c r="H105" s="2511"/>
      <c r="I105" s="2511"/>
      <c r="J105" s="2511"/>
      <c r="K105" s="2512"/>
      <c r="L105" s="1860"/>
      <c r="M105" s="78"/>
      <c r="N105" s="57"/>
      <c r="O105" s="57"/>
      <c r="P105" s="57"/>
      <c r="Q105" s="57"/>
      <c r="R105" s="57"/>
    </row>
    <row r="106" spans="1:20" x14ac:dyDescent="0.25">
      <c r="A106" s="78"/>
      <c r="B106" s="1851"/>
      <c r="C106" s="2510"/>
      <c r="D106" s="2511"/>
      <c r="E106" s="2511"/>
      <c r="F106" s="2511"/>
      <c r="G106" s="2511"/>
      <c r="H106" s="2511"/>
      <c r="I106" s="2511"/>
      <c r="J106" s="2511"/>
      <c r="K106" s="2512"/>
      <c r="L106" s="1860"/>
      <c r="M106" s="78"/>
      <c r="N106" s="57"/>
      <c r="O106" s="57"/>
      <c r="P106" s="57"/>
      <c r="Q106" s="57"/>
      <c r="R106" s="57"/>
    </row>
    <row r="107" spans="1:20" x14ac:dyDescent="0.25">
      <c r="A107" s="78"/>
      <c r="B107" s="1851"/>
      <c r="C107" s="2513"/>
      <c r="D107" s="2514"/>
      <c r="E107" s="2514"/>
      <c r="F107" s="2514"/>
      <c r="G107" s="2514"/>
      <c r="H107" s="2514"/>
      <c r="I107" s="2514"/>
      <c r="J107" s="2514"/>
      <c r="K107" s="2515"/>
      <c r="L107" s="1860"/>
      <c r="M107" s="78"/>
      <c r="N107" s="57"/>
      <c r="O107" s="57"/>
      <c r="P107" s="57"/>
      <c r="Q107" s="57"/>
      <c r="R107" s="57"/>
    </row>
    <row r="108" spans="1:20" x14ac:dyDescent="0.25">
      <c r="A108" s="78"/>
      <c r="B108" s="1851"/>
      <c r="C108" s="205"/>
      <c r="D108" s="205"/>
      <c r="E108" s="205"/>
      <c r="F108" s="205"/>
      <c r="G108" s="531"/>
      <c r="H108" s="205"/>
      <c r="I108" s="205"/>
      <c r="J108" s="598"/>
      <c r="K108" s="598"/>
      <c r="L108" s="1860"/>
      <c r="M108" s="78"/>
      <c r="N108" s="57"/>
      <c r="O108" s="57"/>
      <c r="P108" s="57"/>
      <c r="Q108" s="57"/>
      <c r="R108" s="57"/>
    </row>
    <row r="109" spans="1:20" x14ac:dyDescent="0.25">
      <c r="A109" s="78"/>
      <c r="B109" s="1853"/>
      <c r="C109" s="1854"/>
      <c r="D109" s="1854"/>
      <c r="E109" s="1854"/>
      <c r="F109" s="1854"/>
      <c r="G109" s="1855"/>
      <c r="H109" s="1854"/>
      <c r="I109" s="1854"/>
      <c r="J109" s="1856"/>
      <c r="K109" s="1856"/>
      <c r="L109" s="1861"/>
      <c r="M109" s="78"/>
      <c r="N109" s="57"/>
      <c r="O109" s="57"/>
      <c r="P109" s="57"/>
      <c r="Q109" s="57"/>
      <c r="R109" s="57"/>
    </row>
    <row r="110" spans="1:20" s="1708" customFormat="1" x14ac:dyDescent="0.25">
      <c r="A110" s="78"/>
      <c r="B110" s="178"/>
      <c r="C110" s="180"/>
      <c r="D110" s="180"/>
      <c r="E110" s="180"/>
      <c r="F110" s="180"/>
      <c r="G110" s="186"/>
      <c r="H110" s="180"/>
      <c r="I110" s="180"/>
      <c r="J110" s="675"/>
      <c r="K110" s="675"/>
      <c r="L110" s="180"/>
      <c r="M110" s="78"/>
      <c r="N110" s="57"/>
      <c r="O110" s="57"/>
      <c r="P110" s="57"/>
      <c r="Q110" s="57"/>
      <c r="R110" s="57"/>
      <c r="S110" s="57"/>
      <c r="T110" s="57"/>
    </row>
    <row r="111" spans="1:20" s="1708" customFormat="1" x14ac:dyDescent="0.25">
      <c r="A111" s="78"/>
      <c r="B111" s="178"/>
      <c r="C111" s="180"/>
      <c r="D111" s="180"/>
      <c r="E111" s="180"/>
      <c r="F111" s="180"/>
      <c r="G111" s="186"/>
      <c r="H111" s="180"/>
      <c r="I111" s="180"/>
      <c r="J111" s="675"/>
      <c r="K111" s="675"/>
      <c r="L111" s="180"/>
      <c r="M111" s="78"/>
      <c r="N111" s="57"/>
      <c r="O111" s="57"/>
      <c r="P111" s="57"/>
      <c r="Q111" s="57"/>
      <c r="R111" s="57"/>
      <c r="S111" s="57"/>
      <c r="T111" s="57"/>
    </row>
    <row r="112" spans="1:20" s="1708" customFormat="1" x14ac:dyDescent="0.25">
      <c r="A112" s="78"/>
      <c r="B112" s="178"/>
      <c r="C112" s="180"/>
      <c r="D112" s="180"/>
      <c r="E112" s="180"/>
      <c r="F112" s="180"/>
      <c r="G112" s="186"/>
      <c r="H112" s="180"/>
      <c r="I112" s="180"/>
      <c r="J112" s="675"/>
      <c r="K112" s="675"/>
      <c r="L112" s="180"/>
      <c r="M112" s="78"/>
      <c r="N112" s="57"/>
      <c r="O112" s="57"/>
      <c r="P112" s="57"/>
      <c r="Q112" s="57"/>
      <c r="R112" s="57"/>
      <c r="S112" s="57"/>
      <c r="T112" s="57"/>
    </row>
    <row r="113" spans="2:20" s="1708" customFormat="1" x14ac:dyDescent="0.25">
      <c r="B113" s="1866"/>
      <c r="C113" s="1858"/>
      <c r="D113" s="1858"/>
      <c r="E113" s="1858"/>
      <c r="F113" s="1858"/>
      <c r="G113" s="1862"/>
      <c r="H113" s="1858"/>
      <c r="I113" s="1858"/>
      <c r="J113" s="1863"/>
      <c r="K113" s="1863"/>
      <c r="L113" s="1858"/>
      <c r="N113" s="57"/>
      <c r="O113" s="57"/>
      <c r="P113" s="57"/>
      <c r="Q113" s="57"/>
      <c r="R113" s="57"/>
      <c r="S113" s="57"/>
      <c r="T113" s="57"/>
    </row>
    <row r="114" spans="2:20" s="1708" customFormat="1" x14ac:dyDescent="0.25">
      <c r="B114" s="1866"/>
      <c r="C114" s="1858"/>
      <c r="D114" s="1858"/>
      <c r="E114" s="1858"/>
      <c r="F114" s="1858"/>
      <c r="G114" s="1862"/>
      <c r="H114" s="1858"/>
      <c r="I114" s="1858"/>
      <c r="J114" s="1863"/>
      <c r="K114" s="1863"/>
      <c r="L114" s="1858"/>
      <c r="N114" s="57"/>
      <c r="O114" s="57"/>
      <c r="P114" s="57"/>
      <c r="Q114" s="57"/>
      <c r="R114" s="57"/>
      <c r="S114" s="57"/>
      <c r="T114" s="57"/>
    </row>
    <row r="115" spans="2:20" s="1708" customFormat="1" x14ac:dyDescent="0.25">
      <c r="B115" s="1866"/>
      <c r="C115" s="1858"/>
      <c r="D115" s="1858"/>
      <c r="E115" s="1858"/>
      <c r="F115" s="1858"/>
      <c r="G115" s="1862"/>
      <c r="H115" s="1858"/>
      <c r="I115" s="1858"/>
      <c r="J115" s="1863"/>
      <c r="K115" s="1863"/>
      <c r="L115" s="1858"/>
      <c r="N115" s="57"/>
      <c r="O115" s="57"/>
      <c r="P115" s="57"/>
      <c r="Q115" s="57"/>
      <c r="R115" s="57"/>
      <c r="S115" s="57"/>
      <c r="T115" s="57"/>
    </row>
    <row r="116" spans="2:20" s="1708" customFormat="1" x14ac:dyDescent="0.25">
      <c r="B116" s="1864"/>
      <c r="G116" s="1859"/>
      <c r="J116" s="1865"/>
      <c r="K116" s="1865"/>
      <c r="N116" s="57"/>
      <c r="O116" s="57"/>
      <c r="P116" s="57"/>
      <c r="Q116" s="57"/>
      <c r="R116" s="57"/>
      <c r="S116" s="57"/>
      <c r="T116" s="57"/>
    </row>
    <row r="117" spans="2:20" s="1708" customFormat="1" x14ac:dyDescent="0.25">
      <c r="B117" s="1864"/>
      <c r="G117" s="1859"/>
      <c r="J117" s="1865"/>
      <c r="K117" s="1865"/>
      <c r="N117" s="57"/>
      <c r="O117" s="57"/>
      <c r="P117" s="57"/>
      <c r="Q117" s="57"/>
      <c r="R117" s="57"/>
      <c r="S117" s="57"/>
      <c r="T117" s="57"/>
    </row>
    <row r="118" spans="2:20" s="1708" customFormat="1" x14ac:dyDescent="0.25">
      <c r="B118" s="1864"/>
      <c r="G118" s="1859"/>
      <c r="J118" s="1865"/>
      <c r="K118" s="1865"/>
      <c r="N118" s="57"/>
      <c r="O118" s="57"/>
      <c r="P118" s="57"/>
      <c r="Q118" s="57"/>
      <c r="R118" s="57"/>
      <c r="S118" s="57"/>
      <c r="T118" s="57"/>
    </row>
    <row r="119" spans="2:20" s="1708" customFormat="1" x14ac:dyDescent="0.25">
      <c r="B119" s="1864"/>
      <c r="G119" s="1859"/>
      <c r="J119" s="1865"/>
      <c r="K119" s="1865"/>
      <c r="N119" s="57"/>
      <c r="O119" s="57"/>
      <c r="P119" s="57"/>
      <c r="Q119" s="57"/>
      <c r="R119" s="57"/>
      <c r="S119" s="57"/>
      <c r="T119" s="57"/>
    </row>
    <row r="120" spans="2:20" s="1708" customFormat="1" x14ac:dyDescent="0.25">
      <c r="B120" s="1864"/>
      <c r="G120" s="1859"/>
      <c r="J120" s="1865"/>
      <c r="K120" s="1865"/>
      <c r="N120" s="57"/>
      <c r="O120" s="57"/>
      <c r="P120" s="57"/>
      <c r="Q120" s="57"/>
      <c r="R120" s="57"/>
      <c r="S120" s="57"/>
      <c r="T120" s="57"/>
    </row>
    <row r="121" spans="2:20" s="1708" customFormat="1" x14ac:dyDescent="0.25">
      <c r="B121" s="1864"/>
      <c r="G121" s="1859"/>
      <c r="J121" s="1865"/>
      <c r="K121" s="1865"/>
      <c r="N121" s="57"/>
      <c r="O121" s="57"/>
      <c r="P121" s="57"/>
      <c r="Q121" s="57"/>
      <c r="R121" s="57"/>
      <c r="S121" s="57"/>
      <c r="T121" s="57"/>
    </row>
    <row r="122" spans="2:20" s="1708" customFormat="1" x14ac:dyDescent="0.25">
      <c r="B122" s="1864"/>
      <c r="G122" s="1859"/>
      <c r="J122" s="1865"/>
      <c r="K122" s="1865"/>
      <c r="N122" s="57"/>
      <c r="O122" s="57"/>
      <c r="P122" s="57"/>
      <c r="Q122" s="57"/>
      <c r="R122" s="57"/>
      <c r="S122" s="57"/>
      <c r="T122" s="57"/>
    </row>
    <row r="123" spans="2:20" s="1708" customFormat="1" x14ac:dyDescent="0.25">
      <c r="B123" s="1864"/>
      <c r="G123" s="1859"/>
      <c r="J123" s="1865"/>
      <c r="K123" s="1865"/>
      <c r="N123" s="57"/>
      <c r="O123" s="57"/>
      <c r="P123" s="57"/>
      <c r="Q123" s="57"/>
      <c r="R123" s="57"/>
      <c r="S123" s="57"/>
      <c r="T123" s="57"/>
    </row>
    <row r="124" spans="2:20" s="1708" customFormat="1" x14ac:dyDescent="0.25">
      <c r="B124" s="1864"/>
      <c r="G124" s="1859"/>
      <c r="J124" s="1865"/>
      <c r="K124" s="1865"/>
      <c r="N124" s="57"/>
      <c r="O124" s="57"/>
      <c r="P124" s="57"/>
      <c r="Q124" s="57"/>
      <c r="R124" s="57"/>
      <c r="S124" s="57"/>
      <c r="T124" s="57"/>
    </row>
    <row r="125" spans="2:20" s="1708" customFormat="1" x14ac:dyDescent="0.25">
      <c r="B125" s="1864"/>
      <c r="G125" s="1859"/>
      <c r="J125" s="1865"/>
      <c r="K125" s="1865"/>
      <c r="N125" s="57"/>
      <c r="O125" s="57"/>
      <c r="P125" s="57"/>
      <c r="Q125" s="57"/>
      <c r="R125" s="57"/>
      <c r="S125" s="57"/>
      <c r="T125" s="57"/>
    </row>
    <row r="126" spans="2:20" s="1708" customFormat="1" x14ac:dyDescent="0.25">
      <c r="B126" s="1864"/>
      <c r="G126" s="1859"/>
      <c r="J126" s="1865"/>
      <c r="K126" s="1865"/>
      <c r="N126" s="57"/>
      <c r="O126" s="57"/>
      <c r="P126" s="57"/>
      <c r="Q126" s="57"/>
      <c r="R126" s="57"/>
      <c r="S126" s="57"/>
      <c r="T126" s="57"/>
    </row>
    <row r="127" spans="2:20" s="1708" customFormat="1" x14ac:dyDescent="0.25">
      <c r="B127" s="1864"/>
      <c r="G127" s="1859"/>
      <c r="J127" s="1865"/>
      <c r="K127" s="1865"/>
      <c r="N127" s="57"/>
      <c r="O127" s="57"/>
      <c r="P127" s="57"/>
      <c r="Q127" s="57"/>
      <c r="R127" s="57"/>
      <c r="S127" s="57"/>
      <c r="T127" s="57"/>
    </row>
    <row r="128" spans="2:20" s="1708" customFormat="1" x14ac:dyDescent="0.25">
      <c r="B128" s="1864"/>
      <c r="G128" s="1859"/>
      <c r="J128" s="1865"/>
      <c r="K128" s="1865"/>
      <c r="N128" s="57"/>
      <c r="O128" s="57"/>
      <c r="P128" s="57"/>
      <c r="Q128" s="57"/>
      <c r="R128" s="57"/>
      <c r="S128" s="57"/>
      <c r="T128" s="57"/>
    </row>
    <row r="129" spans="2:20" s="1708" customFormat="1" x14ac:dyDescent="0.25">
      <c r="B129" s="1864"/>
      <c r="G129" s="1859"/>
      <c r="J129" s="1865"/>
      <c r="K129" s="1865"/>
      <c r="N129" s="57"/>
      <c r="O129" s="57"/>
      <c r="P129" s="57"/>
      <c r="Q129" s="57"/>
      <c r="R129" s="57"/>
      <c r="S129" s="57"/>
      <c r="T129" s="57"/>
    </row>
    <row r="130" spans="2:20" s="1708" customFormat="1" x14ac:dyDescent="0.25">
      <c r="B130" s="1864"/>
      <c r="G130" s="1859"/>
      <c r="J130" s="1865"/>
      <c r="K130" s="1865"/>
      <c r="N130" s="57"/>
      <c r="O130" s="57"/>
      <c r="P130" s="57"/>
      <c r="Q130" s="57"/>
      <c r="R130" s="57"/>
      <c r="S130" s="57"/>
      <c r="T130" s="57"/>
    </row>
    <row r="131" spans="2:20" s="1708" customFormat="1" x14ac:dyDescent="0.25">
      <c r="B131" s="1864"/>
      <c r="G131" s="1859"/>
      <c r="J131" s="1865"/>
      <c r="K131" s="1865"/>
      <c r="N131" s="57"/>
      <c r="O131" s="57"/>
      <c r="P131" s="57"/>
      <c r="Q131" s="57"/>
      <c r="R131" s="57"/>
      <c r="S131" s="57"/>
      <c r="T131" s="57"/>
    </row>
    <row r="132" spans="2:20" s="1708" customFormat="1" x14ac:dyDescent="0.25">
      <c r="B132" s="1864"/>
      <c r="G132" s="1859"/>
      <c r="J132" s="1865"/>
      <c r="K132" s="1865"/>
      <c r="N132" s="57"/>
      <c r="O132" s="57"/>
      <c r="P132" s="57"/>
      <c r="Q132" s="57"/>
      <c r="R132" s="57"/>
      <c r="S132" s="57"/>
      <c r="T132" s="57"/>
    </row>
    <row r="133" spans="2:20" s="1708" customFormat="1" x14ac:dyDescent="0.25">
      <c r="B133" s="1864"/>
      <c r="G133" s="1859"/>
      <c r="J133" s="1865"/>
      <c r="K133" s="1865"/>
      <c r="N133" s="57"/>
      <c r="O133" s="57"/>
      <c r="P133" s="57"/>
      <c r="Q133" s="57"/>
      <c r="R133" s="57"/>
      <c r="S133" s="57"/>
      <c r="T133" s="57"/>
    </row>
    <row r="134" spans="2:20" s="1708" customFormat="1" x14ac:dyDescent="0.25">
      <c r="B134" s="1864"/>
      <c r="G134" s="1859"/>
      <c r="J134" s="1865"/>
      <c r="K134" s="1865"/>
      <c r="N134" s="57"/>
      <c r="O134" s="57"/>
      <c r="P134" s="57"/>
      <c r="Q134" s="57"/>
      <c r="R134" s="57"/>
      <c r="S134" s="57"/>
      <c r="T134" s="57"/>
    </row>
    <row r="135" spans="2:20" s="1708" customFormat="1" x14ac:dyDescent="0.25">
      <c r="B135" s="1864"/>
      <c r="G135" s="1859"/>
      <c r="J135" s="1865"/>
      <c r="K135" s="1865"/>
      <c r="N135" s="57"/>
      <c r="O135" s="57"/>
      <c r="P135" s="57"/>
      <c r="Q135" s="57"/>
      <c r="R135" s="57"/>
      <c r="S135" s="57"/>
      <c r="T135" s="57"/>
    </row>
    <row r="136" spans="2:20" s="1708" customFormat="1" x14ac:dyDescent="0.25">
      <c r="B136" s="1864"/>
      <c r="G136" s="1859"/>
      <c r="J136" s="1865"/>
      <c r="K136" s="1865"/>
      <c r="N136" s="57"/>
      <c r="O136" s="57"/>
      <c r="P136" s="57"/>
      <c r="Q136" s="57"/>
      <c r="R136" s="57"/>
      <c r="S136" s="57"/>
      <c r="T136" s="57"/>
    </row>
    <row r="137" spans="2:20" s="1708" customFormat="1" x14ac:dyDescent="0.25">
      <c r="B137" s="1864"/>
      <c r="G137" s="1859"/>
      <c r="J137" s="1865"/>
      <c r="K137" s="1865"/>
      <c r="N137" s="57"/>
      <c r="O137" s="57"/>
      <c r="P137" s="57"/>
      <c r="Q137" s="57"/>
      <c r="R137" s="57"/>
      <c r="S137" s="57"/>
      <c r="T137" s="57"/>
    </row>
    <row r="138" spans="2:20" s="1708" customFormat="1" x14ac:dyDescent="0.25">
      <c r="B138" s="1864"/>
      <c r="G138" s="1859"/>
      <c r="J138" s="1865"/>
      <c r="K138" s="1865"/>
      <c r="N138" s="57"/>
      <c r="O138" s="57"/>
      <c r="P138" s="57"/>
      <c r="Q138" s="57"/>
      <c r="R138" s="57"/>
      <c r="S138" s="57"/>
      <c r="T138" s="57"/>
    </row>
    <row r="139" spans="2:20" s="1708" customFormat="1" x14ac:dyDescent="0.25">
      <c r="B139" s="1864"/>
      <c r="G139" s="1859"/>
      <c r="J139" s="1865"/>
      <c r="K139" s="1865"/>
      <c r="N139" s="57"/>
      <c r="O139" s="57"/>
      <c r="P139" s="57"/>
      <c r="Q139" s="57"/>
      <c r="R139" s="57"/>
      <c r="S139" s="57"/>
      <c r="T139" s="57"/>
    </row>
    <row r="140" spans="2:20" s="1708" customFormat="1" x14ac:dyDescent="0.25">
      <c r="B140" s="1864"/>
      <c r="G140" s="1859"/>
      <c r="J140" s="1865"/>
      <c r="K140" s="1865"/>
      <c r="N140" s="57"/>
      <c r="O140" s="57"/>
      <c r="P140" s="57"/>
      <c r="Q140" s="57"/>
      <c r="R140" s="57"/>
      <c r="S140" s="57"/>
      <c r="T140" s="57"/>
    </row>
    <row r="141" spans="2:20" s="1708" customFormat="1" x14ac:dyDescent="0.25">
      <c r="B141" s="1864"/>
      <c r="G141" s="1859"/>
      <c r="J141" s="1865"/>
      <c r="K141" s="1865"/>
      <c r="N141" s="57"/>
      <c r="O141" s="57"/>
      <c r="P141" s="57"/>
      <c r="Q141" s="57"/>
      <c r="R141" s="57"/>
      <c r="S141" s="57"/>
      <c r="T141" s="57"/>
    </row>
    <row r="142" spans="2:20" s="1708" customFormat="1" x14ac:dyDescent="0.25">
      <c r="B142" s="1864"/>
      <c r="G142" s="1859"/>
      <c r="J142" s="1865"/>
      <c r="K142" s="1865"/>
      <c r="N142" s="57"/>
      <c r="O142" s="57"/>
      <c r="P142" s="57"/>
      <c r="Q142" s="57"/>
      <c r="R142" s="57"/>
      <c r="S142" s="57"/>
      <c r="T142" s="57"/>
    </row>
    <row r="143" spans="2:20" s="1708" customFormat="1" x14ac:dyDescent="0.25">
      <c r="B143" s="1864"/>
      <c r="G143" s="1859"/>
      <c r="J143" s="1865"/>
      <c r="K143" s="1865"/>
      <c r="N143" s="57"/>
      <c r="O143" s="57"/>
      <c r="P143" s="57"/>
      <c r="Q143" s="57"/>
      <c r="R143" s="57"/>
      <c r="S143" s="57"/>
      <c r="T143" s="57"/>
    </row>
    <row r="144" spans="2:20" s="1708" customFormat="1" x14ac:dyDescent="0.25">
      <c r="B144" s="1864"/>
      <c r="G144" s="1859"/>
      <c r="J144" s="1865"/>
      <c r="K144" s="1865"/>
      <c r="N144" s="57"/>
      <c r="O144" s="57"/>
      <c r="P144" s="57"/>
      <c r="Q144" s="57"/>
      <c r="R144" s="57"/>
      <c r="S144" s="57"/>
      <c r="T144" s="57"/>
    </row>
    <row r="145" spans="2:20" s="1708" customFormat="1" x14ac:dyDescent="0.25">
      <c r="B145" s="1864"/>
      <c r="G145" s="1859"/>
      <c r="J145" s="1865"/>
      <c r="K145" s="1865"/>
      <c r="N145" s="57"/>
      <c r="O145" s="57"/>
      <c r="P145" s="57"/>
      <c r="Q145" s="57"/>
      <c r="R145" s="57"/>
      <c r="S145" s="57"/>
      <c r="T145" s="57"/>
    </row>
    <row r="146" spans="2:20" s="1708" customFormat="1" x14ac:dyDescent="0.25">
      <c r="B146" s="1864"/>
      <c r="G146" s="1859"/>
      <c r="J146" s="1865"/>
      <c r="K146" s="1865"/>
      <c r="N146" s="57"/>
      <c r="O146" s="57"/>
      <c r="P146" s="57"/>
      <c r="Q146" s="57"/>
      <c r="R146" s="57"/>
      <c r="S146" s="57"/>
      <c r="T146" s="57"/>
    </row>
    <row r="147" spans="2:20" s="1708" customFormat="1" x14ac:dyDescent="0.25">
      <c r="B147" s="1864"/>
      <c r="G147" s="1859"/>
      <c r="J147" s="1865"/>
      <c r="K147" s="1865"/>
      <c r="N147" s="57"/>
      <c r="O147" s="57"/>
      <c r="P147" s="57"/>
      <c r="Q147" s="57"/>
      <c r="R147" s="57"/>
      <c r="S147" s="57"/>
      <c r="T147" s="57"/>
    </row>
    <row r="148" spans="2:20" s="1708" customFormat="1" x14ac:dyDescent="0.25">
      <c r="B148" s="1864"/>
      <c r="G148" s="1859"/>
      <c r="J148" s="1865"/>
      <c r="K148" s="1865"/>
      <c r="N148" s="57"/>
      <c r="O148" s="57"/>
      <c r="P148" s="57"/>
      <c r="Q148" s="57"/>
      <c r="R148" s="57"/>
      <c r="S148" s="57"/>
      <c r="T148" s="57"/>
    </row>
    <row r="149" spans="2:20" s="1708" customFormat="1" x14ac:dyDescent="0.25">
      <c r="B149" s="1864"/>
      <c r="G149" s="1859"/>
      <c r="J149" s="1865"/>
      <c r="K149" s="1865"/>
      <c r="N149" s="57"/>
      <c r="O149" s="57"/>
      <c r="P149" s="57"/>
      <c r="Q149" s="57"/>
      <c r="R149" s="57"/>
      <c r="S149" s="57"/>
      <c r="T149" s="57"/>
    </row>
    <row r="150" spans="2:20" s="1708" customFormat="1" x14ac:dyDescent="0.25">
      <c r="B150" s="1864"/>
      <c r="G150" s="1859"/>
      <c r="J150" s="1865"/>
      <c r="K150" s="1865"/>
      <c r="N150" s="57"/>
      <c r="O150" s="57"/>
      <c r="P150" s="57"/>
      <c r="Q150" s="57"/>
      <c r="R150" s="57"/>
      <c r="S150" s="57"/>
      <c r="T150" s="57"/>
    </row>
    <row r="151" spans="2:20" s="1708" customFormat="1" x14ac:dyDescent="0.25">
      <c r="B151" s="1864"/>
      <c r="G151" s="1859"/>
      <c r="J151" s="1865"/>
      <c r="K151" s="1865"/>
      <c r="N151" s="57"/>
      <c r="O151" s="57"/>
      <c r="P151" s="57"/>
      <c r="Q151" s="57"/>
      <c r="R151" s="57"/>
      <c r="S151" s="57"/>
      <c r="T151" s="57"/>
    </row>
    <row r="152" spans="2:20" s="1708" customFormat="1" x14ac:dyDescent="0.25">
      <c r="B152" s="1864"/>
      <c r="G152" s="1859"/>
      <c r="J152" s="1865"/>
      <c r="K152" s="1865"/>
      <c r="N152" s="57"/>
      <c r="O152" s="57"/>
      <c r="P152" s="57"/>
      <c r="Q152" s="57"/>
      <c r="R152" s="57"/>
      <c r="S152" s="57"/>
      <c r="T152" s="57"/>
    </row>
    <row r="153" spans="2:20" s="1708" customFormat="1" x14ac:dyDescent="0.25">
      <c r="B153" s="1864"/>
      <c r="G153" s="1859"/>
      <c r="J153" s="1865"/>
      <c r="K153" s="1865"/>
      <c r="N153" s="57"/>
      <c r="O153" s="57"/>
      <c r="P153" s="57"/>
      <c r="Q153" s="57"/>
      <c r="R153" s="57"/>
      <c r="S153" s="57"/>
      <c r="T153" s="57"/>
    </row>
    <row r="154" spans="2:20" s="1708" customFormat="1" x14ac:dyDescent="0.25">
      <c r="B154" s="1864"/>
      <c r="G154" s="1859"/>
      <c r="J154" s="1865"/>
      <c r="K154" s="1865"/>
      <c r="N154" s="57"/>
      <c r="O154" s="57"/>
      <c r="P154" s="57"/>
      <c r="Q154" s="57"/>
      <c r="R154" s="57"/>
      <c r="S154" s="57"/>
      <c r="T154" s="57"/>
    </row>
    <row r="155" spans="2:20" s="1708" customFormat="1" x14ac:dyDescent="0.25">
      <c r="B155" s="1864"/>
      <c r="G155" s="1859"/>
      <c r="J155" s="1865"/>
      <c r="K155" s="1865"/>
      <c r="N155" s="57"/>
      <c r="O155" s="57"/>
      <c r="P155" s="57"/>
      <c r="Q155" s="57"/>
      <c r="R155" s="57"/>
      <c r="S155" s="57"/>
      <c r="T155" s="57"/>
    </row>
    <row r="156" spans="2:20" s="1708" customFormat="1" x14ac:dyDescent="0.25">
      <c r="B156" s="1864"/>
      <c r="G156" s="1859"/>
      <c r="J156" s="1865"/>
      <c r="K156" s="1865"/>
      <c r="N156" s="57"/>
      <c r="O156" s="57"/>
      <c r="P156" s="57"/>
      <c r="Q156" s="57"/>
      <c r="R156" s="57"/>
      <c r="S156" s="57"/>
      <c r="T156" s="57"/>
    </row>
    <row r="157" spans="2:20" s="1708" customFormat="1" x14ac:dyDescent="0.25">
      <c r="B157" s="1864"/>
      <c r="G157" s="1859"/>
      <c r="J157" s="1865"/>
      <c r="K157" s="1865"/>
      <c r="N157" s="57"/>
      <c r="O157" s="57"/>
      <c r="P157" s="57"/>
      <c r="Q157" s="57"/>
      <c r="R157" s="57"/>
      <c r="S157" s="57"/>
      <c r="T157" s="57"/>
    </row>
    <row r="158" spans="2:20" s="1708" customFormat="1" x14ac:dyDescent="0.25">
      <c r="B158" s="1864"/>
      <c r="G158" s="1859"/>
      <c r="J158" s="1865"/>
      <c r="K158" s="1865"/>
      <c r="N158" s="57"/>
      <c r="O158" s="57"/>
      <c r="P158" s="57"/>
      <c r="Q158" s="57"/>
      <c r="R158" s="57"/>
      <c r="S158" s="57"/>
      <c r="T158" s="57"/>
    </row>
    <row r="159" spans="2:20" s="1708" customFormat="1" x14ac:dyDescent="0.25">
      <c r="B159" s="1864"/>
      <c r="G159" s="1859"/>
      <c r="J159" s="1865"/>
      <c r="K159" s="1865"/>
      <c r="N159" s="57"/>
      <c r="O159" s="57"/>
      <c r="P159" s="57"/>
      <c r="Q159" s="57"/>
      <c r="R159" s="57"/>
      <c r="S159" s="57"/>
      <c r="T159" s="57"/>
    </row>
    <row r="160" spans="2:20" s="1708" customFormat="1" x14ac:dyDescent="0.25">
      <c r="B160" s="1864"/>
      <c r="G160" s="1859"/>
      <c r="J160" s="1865"/>
      <c r="K160" s="1865"/>
      <c r="N160" s="57"/>
      <c r="O160" s="57"/>
      <c r="P160" s="57"/>
      <c r="Q160" s="57"/>
      <c r="R160" s="57"/>
      <c r="S160" s="57"/>
      <c r="T160" s="57"/>
    </row>
    <row r="161" spans="2:20" s="1708" customFormat="1" x14ac:dyDescent="0.25">
      <c r="B161" s="1864"/>
      <c r="G161" s="1859"/>
      <c r="J161" s="1865"/>
      <c r="K161" s="1865"/>
      <c r="N161" s="57"/>
      <c r="O161" s="57"/>
      <c r="P161" s="57"/>
      <c r="Q161" s="57"/>
      <c r="R161" s="57"/>
      <c r="S161" s="57"/>
      <c r="T161" s="57"/>
    </row>
    <row r="162" spans="2:20" s="1708" customFormat="1" x14ac:dyDescent="0.25">
      <c r="B162" s="1864"/>
      <c r="G162" s="1859"/>
      <c r="J162" s="1865"/>
      <c r="K162" s="1865"/>
      <c r="N162" s="57"/>
      <c r="O162" s="57"/>
      <c r="P162" s="57"/>
      <c r="Q162" s="57"/>
      <c r="R162" s="57"/>
      <c r="S162" s="57"/>
      <c r="T162" s="57"/>
    </row>
    <row r="163" spans="2:20" s="1708" customFormat="1" x14ac:dyDescent="0.25">
      <c r="B163" s="1864"/>
      <c r="G163" s="1859"/>
      <c r="J163" s="1865"/>
      <c r="K163" s="1865"/>
      <c r="N163" s="57"/>
      <c r="O163" s="57"/>
      <c r="P163" s="57"/>
      <c r="Q163" s="57"/>
      <c r="R163" s="57"/>
      <c r="S163" s="57"/>
      <c r="T163" s="57"/>
    </row>
    <row r="164" spans="2:20" s="1708" customFormat="1" x14ac:dyDescent="0.25">
      <c r="B164" s="1864"/>
      <c r="G164" s="1859"/>
      <c r="J164" s="1865"/>
      <c r="K164" s="1865"/>
      <c r="N164" s="57"/>
      <c r="O164" s="57"/>
      <c r="P164" s="57"/>
      <c r="Q164" s="57"/>
      <c r="R164" s="57"/>
      <c r="S164" s="57"/>
      <c r="T164" s="57"/>
    </row>
    <row r="165" spans="2:20" s="1708" customFormat="1" x14ac:dyDescent="0.25">
      <c r="B165" s="1864"/>
      <c r="G165" s="1859"/>
      <c r="J165" s="1865"/>
      <c r="K165" s="1865"/>
      <c r="N165" s="57"/>
      <c r="O165" s="57"/>
      <c r="P165" s="57"/>
      <c r="Q165" s="57"/>
      <c r="R165" s="57"/>
      <c r="S165" s="57"/>
      <c r="T165" s="57"/>
    </row>
    <row r="166" spans="2:20" s="1708" customFormat="1" x14ac:dyDescent="0.25">
      <c r="B166" s="1864"/>
      <c r="G166" s="1859"/>
      <c r="J166" s="1865"/>
      <c r="K166" s="1865"/>
      <c r="N166" s="57"/>
      <c r="O166" s="57"/>
      <c r="P166" s="57"/>
      <c r="Q166" s="57"/>
      <c r="R166" s="57"/>
      <c r="S166" s="57"/>
      <c r="T166" s="57"/>
    </row>
    <row r="167" spans="2:20" s="1708" customFormat="1" x14ac:dyDescent="0.25">
      <c r="B167" s="1864"/>
      <c r="G167" s="1859"/>
      <c r="J167" s="1865"/>
      <c r="K167" s="1865"/>
      <c r="N167" s="57"/>
      <c r="O167" s="57"/>
      <c r="P167" s="57"/>
      <c r="Q167" s="57"/>
      <c r="R167" s="57"/>
      <c r="S167" s="57"/>
      <c r="T167" s="57"/>
    </row>
    <row r="168" spans="2:20" s="1708" customFormat="1" x14ac:dyDescent="0.25">
      <c r="B168" s="1864"/>
      <c r="G168" s="1859"/>
      <c r="J168" s="1865"/>
      <c r="K168" s="1865"/>
      <c r="N168" s="57"/>
      <c r="O168" s="57"/>
      <c r="P168" s="57"/>
      <c r="Q168" s="57"/>
      <c r="R168" s="57"/>
      <c r="S168" s="57"/>
      <c r="T168" s="57"/>
    </row>
    <row r="169" spans="2:20" s="1708" customFormat="1" x14ac:dyDescent="0.25">
      <c r="B169" s="1864"/>
      <c r="G169" s="1859"/>
      <c r="J169" s="1865"/>
      <c r="K169" s="1865"/>
      <c r="N169" s="57"/>
      <c r="O169" s="57"/>
      <c r="P169" s="57"/>
      <c r="Q169" s="57"/>
      <c r="R169" s="57"/>
      <c r="S169" s="57"/>
      <c r="T169" s="57"/>
    </row>
    <row r="170" spans="2:20" s="1708" customFormat="1" x14ac:dyDescent="0.25">
      <c r="B170" s="1864"/>
      <c r="G170" s="1859"/>
      <c r="J170" s="1865"/>
      <c r="K170" s="1865"/>
      <c r="N170" s="57"/>
      <c r="O170" s="57"/>
      <c r="P170" s="57"/>
      <c r="Q170" s="57"/>
      <c r="R170" s="57"/>
      <c r="S170" s="57"/>
      <c r="T170" s="57"/>
    </row>
    <row r="171" spans="2:20" s="1708" customFormat="1" x14ac:dyDescent="0.25">
      <c r="B171" s="1864"/>
      <c r="G171" s="1859"/>
      <c r="J171" s="1865"/>
      <c r="K171" s="1865"/>
      <c r="N171" s="57"/>
      <c r="O171" s="57"/>
      <c r="P171" s="57"/>
      <c r="Q171" s="57"/>
      <c r="R171" s="57"/>
      <c r="S171" s="57"/>
      <c r="T171" s="57"/>
    </row>
    <row r="172" spans="2:20" s="1708" customFormat="1" x14ac:dyDescent="0.25">
      <c r="B172" s="1864"/>
      <c r="G172" s="1859"/>
      <c r="J172" s="1865"/>
      <c r="K172" s="1865"/>
      <c r="N172" s="57"/>
      <c r="O172" s="57"/>
      <c r="P172" s="57"/>
      <c r="Q172" s="57"/>
      <c r="R172" s="57"/>
      <c r="S172" s="57"/>
      <c r="T172" s="57"/>
    </row>
    <row r="173" spans="2:20" s="1708" customFormat="1" x14ac:dyDescent="0.25">
      <c r="B173" s="1864"/>
      <c r="G173" s="1859"/>
      <c r="J173" s="1865"/>
      <c r="K173" s="1865"/>
      <c r="N173" s="57"/>
      <c r="O173" s="57"/>
      <c r="P173" s="57"/>
      <c r="Q173" s="57"/>
      <c r="R173" s="57"/>
      <c r="S173" s="57"/>
      <c r="T173" s="57"/>
    </row>
    <row r="174" spans="2:20" s="1708" customFormat="1" x14ac:dyDescent="0.25">
      <c r="B174" s="1864"/>
      <c r="G174" s="1859"/>
      <c r="J174" s="1865"/>
      <c r="K174" s="1865"/>
      <c r="N174" s="57"/>
      <c r="O174" s="57"/>
      <c r="P174" s="57"/>
      <c r="Q174" s="57"/>
      <c r="R174" s="57"/>
      <c r="S174" s="57"/>
      <c r="T174" s="57"/>
    </row>
    <row r="175" spans="2:20" s="1708" customFormat="1" x14ac:dyDescent="0.25">
      <c r="B175" s="1864"/>
      <c r="G175" s="1859"/>
      <c r="J175" s="1865"/>
      <c r="K175" s="1865"/>
      <c r="N175" s="57"/>
      <c r="O175" s="57"/>
      <c r="P175" s="57"/>
      <c r="Q175" s="57"/>
      <c r="R175" s="57"/>
      <c r="S175" s="57"/>
      <c r="T175" s="57"/>
    </row>
    <row r="176" spans="2:20" s="1708" customFormat="1" x14ac:dyDescent="0.25">
      <c r="B176" s="1864"/>
      <c r="G176" s="1859"/>
      <c r="J176" s="1865"/>
      <c r="K176" s="1865"/>
      <c r="N176" s="57"/>
      <c r="O176" s="57"/>
      <c r="P176" s="57"/>
      <c r="Q176" s="57"/>
      <c r="R176" s="57"/>
      <c r="S176" s="57"/>
      <c r="T176" s="57"/>
    </row>
    <row r="177" spans="2:20" s="1708" customFormat="1" x14ac:dyDescent="0.25">
      <c r="B177" s="1864"/>
      <c r="G177" s="1859"/>
      <c r="J177" s="1865"/>
      <c r="K177" s="1865"/>
      <c r="N177" s="57"/>
      <c r="O177" s="57"/>
      <c r="P177" s="57"/>
      <c r="Q177" s="57"/>
      <c r="R177" s="57"/>
      <c r="S177" s="57"/>
      <c r="T177" s="57"/>
    </row>
    <row r="178" spans="2:20" s="1708" customFormat="1" x14ac:dyDescent="0.25">
      <c r="B178" s="1864"/>
      <c r="G178" s="1859"/>
      <c r="J178" s="1865"/>
      <c r="K178" s="1865"/>
      <c r="N178" s="57"/>
      <c r="O178" s="57"/>
      <c r="P178" s="57"/>
      <c r="Q178" s="57"/>
      <c r="R178" s="57"/>
      <c r="S178" s="57"/>
      <c r="T178" s="57"/>
    </row>
    <row r="179" spans="2:20" s="1708" customFormat="1" x14ac:dyDescent="0.25">
      <c r="B179" s="1864"/>
      <c r="G179" s="1859"/>
      <c r="J179" s="1865"/>
      <c r="K179" s="1865"/>
      <c r="N179" s="57"/>
      <c r="O179" s="57"/>
      <c r="P179" s="57"/>
      <c r="Q179" s="57"/>
      <c r="R179" s="57"/>
      <c r="S179" s="57"/>
      <c r="T179" s="57"/>
    </row>
    <row r="180" spans="2:20" s="1708" customFormat="1" x14ac:dyDescent="0.25">
      <c r="B180" s="1864"/>
      <c r="G180" s="1859"/>
      <c r="J180" s="1865"/>
      <c r="K180" s="1865"/>
      <c r="N180" s="57"/>
      <c r="O180" s="57"/>
      <c r="P180" s="57"/>
      <c r="Q180" s="57"/>
      <c r="R180" s="57"/>
      <c r="S180" s="57"/>
      <c r="T180" s="57"/>
    </row>
    <row r="181" spans="2:20" s="1708" customFormat="1" x14ac:dyDescent="0.25">
      <c r="B181" s="1864"/>
      <c r="G181" s="1859"/>
      <c r="J181" s="1865"/>
      <c r="K181" s="1865"/>
      <c r="N181" s="57"/>
      <c r="O181" s="57"/>
      <c r="P181" s="57"/>
      <c r="Q181" s="57"/>
      <c r="R181" s="57"/>
      <c r="S181" s="57"/>
      <c r="T181" s="57"/>
    </row>
    <row r="182" spans="2:20" s="1708" customFormat="1" x14ac:dyDescent="0.25">
      <c r="B182" s="1864"/>
      <c r="G182" s="1859"/>
      <c r="J182" s="1865"/>
      <c r="K182" s="1865"/>
      <c r="N182" s="57"/>
      <c r="O182" s="57"/>
      <c r="P182" s="57"/>
      <c r="Q182" s="57"/>
      <c r="R182" s="57"/>
      <c r="S182" s="57"/>
      <c r="T182" s="57"/>
    </row>
    <row r="183" spans="2:20" s="1708" customFormat="1" x14ac:dyDescent="0.25">
      <c r="B183" s="1864"/>
      <c r="G183" s="1859"/>
      <c r="J183" s="1865"/>
      <c r="K183" s="1865"/>
      <c r="N183" s="57"/>
      <c r="O183" s="57"/>
      <c r="P183" s="57"/>
      <c r="Q183" s="57"/>
      <c r="R183" s="57"/>
      <c r="S183" s="57"/>
      <c r="T183" s="57"/>
    </row>
    <row r="184" spans="2:20" s="1708" customFormat="1" x14ac:dyDescent="0.25">
      <c r="B184" s="1864"/>
      <c r="G184" s="1859"/>
      <c r="J184" s="1865"/>
      <c r="K184" s="1865"/>
      <c r="N184" s="57"/>
      <c r="O184" s="57"/>
      <c r="P184" s="57"/>
      <c r="Q184" s="57"/>
      <c r="R184" s="57"/>
      <c r="S184" s="57"/>
      <c r="T184" s="57"/>
    </row>
    <row r="185" spans="2:20" s="1708" customFormat="1" x14ac:dyDescent="0.25">
      <c r="B185" s="1864"/>
      <c r="G185" s="1859"/>
      <c r="J185" s="1865"/>
      <c r="K185" s="1865"/>
      <c r="N185" s="57"/>
      <c r="O185" s="57"/>
      <c r="P185" s="57"/>
      <c r="Q185" s="57"/>
      <c r="R185" s="57"/>
      <c r="S185" s="57"/>
      <c r="T185" s="57"/>
    </row>
    <row r="186" spans="2:20" s="1708" customFormat="1" x14ac:dyDescent="0.25">
      <c r="B186" s="1864"/>
      <c r="G186" s="1859"/>
      <c r="J186" s="1865"/>
      <c r="K186" s="1865"/>
      <c r="N186" s="57"/>
      <c r="O186" s="57"/>
      <c r="P186" s="57"/>
      <c r="Q186" s="57"/>
      <c r="R186" s="57"/>
      <c r="S186" s="57"/>
      <c r="T186" s="57"/>
    </row>
    <row r="187" spans="2:20" s="1708" customFormat="1" x14ac:dyDescent="0.25">
      <c r="B187" s="1864"/>
      <c r="G187" s="1859"/>
      <c r="J187" s="1865"/>
      <c r="K187" s="1865"/>
      <c r="N187" s="57"/>
      <c r="O187" s="57"/>
      <c r="P187" s="57"/>
      <c r="Q187" s="57"/>
      <c r="R187" s="57"/>
      <c r="S187" s="57"/>
      <c r="T187" s="57"/>
    </row>
    <row r="188" spans="2:20" s="1708" customFormat="1" x14ac:dyDescent="0.25">
      <c r="B188" s="1864"/>
      <c r="G188" s="1859"/>
      <c r="J188" s="1865"/>
      <c r="K188" s="1865"/>
      <c r="N188" s="57"/>
      <c r="O188" s="57"/>
      <c r="P188" s="57"/>
      <c r="Q188" s="57"/>
      <c r="R188" s="57"/>
      <c r="S188" s="57"/>
      <c r="T188" s="57"/>
    </row>
    <row r="189" spans="2:20" s="1708" customFormat="1" x14ac:dyDescent="0.25">
      <c r="B189" s="1864"/>
      <c r="G189" s="1859"/>
      <c r="J189" s="1865"/>
      <c r="K189" s="1865"/>
      <c r="N189" s="57"/>
      <c r="O189" s="57"/>
      <c r="P189" s="57"/>
      <c r="Q189" s="57"/>
      <c r="R189" s="57"/>
      <c r="S189" s="57"/>
      <c r="T189" s="57"/>
    </row>
    <row r="190" spans="2:20" s="1708" customFormat="1" x14ac:dyDescent="0.25">
      <c r="B190" s="1864"/>
      <c r="G190" s="1859"/>
      <c r="J190" s="1865"/>
      <c r="K190" s="1865"/>
      <c r="N190" s="57"/>
      <c r="O190" s="57"/>
      <c r="P190" s="57"/>
      <c r="Q190" s="57"/>
      <c r="R190" s="57"/>
      <c r="S190" s="57"/>
      <c r="T190" s="57"/>
    </row>
    <row r="191" spans="2:20" s="1708" customFormat="1" x14ac:dyDescent="0.25">
      <c r="B191" s="1864"/>
      <c r="G191" s="1859"/>
      <c r="J191" s="1865"/>
      <c r="K191" s="1865"/>
      <c r="N191" s="57"/>
      <c r="O191" s="57"/>
      <c r="P191" s="57"/>
      <c r="Q191" s="57"/>
      <c r="R191" s="57"/>
      <c r="S191" s="57"/>
      <c r="T191" s="57"/>
    </row>
    <row r="192" spans="2:20" s="1708" customFormat="1" x14ac:dyDescent="0.25">
      <c r="B192" s="1864"/>
      <c r="G192" s="1859"/>
      <c r="J192" s="1865"/>
      <c r="K192" s="1865"/>
      <c r="N192" s="57"/>
      <c r="O192" s="57"/>
      <c r="P192" s="57"/>
      <c r="Q192" s="57"/>
      <c r="R192" s="57"/>
      <c r="S192" s="57"/>
      <c r="T192" s="57"/>
    </row>
    <row r="193" spans="2:20" s="1708" customFormat="1" x14ac:dyDescent="0.25">
      <c r="B193" s="1864"/>
      <c r="G193" s="1859"/>
      <c r="J193" s="1865"/>
      <c r="K193" s="1865"/>
      <c r="N193" s="57"/>
      <c r="O193" s="57"/>
      <c r="P193" s="57"/>
      <c r="Q193" s="57"/>
      <c r="R193" s="57"/>
      <c r="S193" s="57"/>
      <c r="T193" s="57"/>
    </row>
    <row r="194" spans="2:20" s="1708" customFormat="1" x14ac:dyDescent="0.25">
      <c r="B194" s="1864"/>
      <c r="G194" s="1859"/>
      <c r="J194" s="1865"/>
      <c r="K194" s="1865"/>
      <c r="N194" s="57"/>
      <c r="O194" s="57"/>
      <c r="P194" s="57"/>
      <c r="Q194" s="57"/>
      <c r="R194" s="57"/>
      <c r="S194" s="57"/>
      <c r="T194" s="57"/>
    </row>
    <row r="195" spans="2:20" s="1708" customFormat="1" x14ac:dyDescent="0.25">
      <c r="B195" s="1864"/>
      <c r="G195" s="1859"/>
      <c r="J195" s="1865"/>
      <c r="K195" s="1865"/>
      <c r="N195" s="57"/>
      <c r="O195" s="57"/>
      <c r="P195" s="57"/>
      <c r="Q195" s="57"/>
      <c r="R195" s="57"/>
      <c r="S195" s="57"/>
      <c r="T195" s="57"/>
    </row>
    <row r="196" spans="2:20" s="1708" customFormat="1" x14ac:dyDescent="0.25">
      <c r="B196" s="1864"/>
      <c r="G196" s="1859"/>
      <c r="J196" s="1865"/>
      <c r="K196" s="1865"/>
      <c r="N196" s="57"/>
      <c r="O196" s="57"/>
      <c r="P196" s="57"/>
      <c r="Q196" s="57"/>
      <c r="R196" s="57"/>
      <c r="S196" s="57"/>
      <c r="T196" s="57"/>
    </row>
    <row r="197" spans="2:20" s="1708" customFormat="1" x14ac:dyDescent="0.25">
      <c r="B197" s="1864"/>
      <c r="G197" s="1859"/>
      <c r="J197" s="1865"/>
      <c r="K197" s="1865"/>
      <c r="N197" s="57"/>
      <c r="O197" s="57"/>
      <c r="P197" s="57"/>
      <c r="Q197" s="57"/>
      <c r="R197" s="57"/>
      <c r="S197" s="57"/>
      <c r="T197" s="57"/>
    </row>
    <row r="198" spans="2:20" s="1708" customFormat="1" x14ac:dyDescent="0.25">
      <c r="B198" s="1864"/>
      <c r="G198" s="1859"/>
      <c r="J198" s="1865"/>
      <c r="K198" s="1865"/>
      <c r="N198" s="57"/>
      <c r="O198" s="57"/>
      <c r="P198" s="57"/>
      <c r="Q198" s="57"/>
      <c r="R198" s="57"/>
      <c r="S198" s="57"/>
      <c r="T198" s="57"/>
    </row>
    <row r="199" spans="2:20" s="1708" customFormat="1" x14ac:dyDescent="0.25">
      <c r="B199" s="1864"/>
      <c r="G199" s="1859"/>
      <c r="J199" s="1865"/>
      <c r="K199" s="1865"/>
      <c r="N199" s="57"/>
      <c r="O199" s="57"/>
      <c r="P199" s="57"/>
      <c r="Q199" s="57"/>
      <c r="R199" s="57"/>
      <c r="S199" s="57"/>
      <c r="T199" s="57"/>
    </row>
    <row r="200" spans="2:20" s="1708" customFormat="1" x14ac:dyDescent="0.25">
      <c r="B200" s="1864"/>
      <c r="G200" s="1859"/>
      <c r="J200" s="1865"/>
      <c r="K200" s="1865"/>
      <c r="N200" s="57"/>
      <c r="O200" s="57"/>
      <c r="P200" s="57"/>
      <c r="Q200" s="57"/>
      <c r="R200" s="57"/>
      <c r="S200" s="57"/>
      <c r="T200" s="57"/>
    </row>
    <row r="201" spans="2:20" s="1708" customFormat="1" x14ac:dyDescent="0.25">
      <c r="B201" s="1864"/>
      <c r="G201" s="1859"/>
      <c r="J201" s="1865"/>
      <c r="K201" s="1865"/>
      <c r="N201" s="57"/>
      <c r="O201" s="57"/>
      <c r="P201" s="57"/>
      <c r="Q201" s="57"/>
      <c r="R201" s="57"/>
      <c r="S201" s="57"/>
      <c r="T201" s="57"/>
    </row>
    <row r="202" spans="2:20" s="1708" customFormat="1" x14ac:dyDescent="0.25">
      <c r="B202" s="1864"/>
      <c r="G202" s="1859"/>
      <c r="J202" s="1865"/>
      <c r="K202" s="1865"/>
      <c r="N202" s="57"/>
      <c r="O202" s="57"/>
      <c r="P202" s="57"/>
      <c r="Q202" s="57"/>
      <c r="R202" s="57"/>
      <c r="S202" s="57"/>
      <c r="T202" s="57"/>
    </row>
    <row r="203" spans="2:20" s="1708" customFormat="1" x14ac:dyDescent="0.25">
      <c r="B203" s="1864"/>
      <c r="G203" s="1859"/>
      <c r="J203" s="1865"/>
      <c r="K203" s="1865"/>
      <c r="S203" s="57"/>
      <c r="T203" s="57"/>
    </row>
    <row r="204" spans="2:20" s="1708" customFormat="1" x14ac:dyDescent="0.25">
      <c r="B204" s="1864"/>
      <c r="G204" s="1859"/>
      <c r="J204" s="1865"/>
      <c r="K204" s="1865"/>
      <c r="S204" s="57"/>
      <c r="T204" s="57"/>
    </row>
    <row r="205" spans="2:20" s="1708" customFormat="1" x14ac:dyDescent="0.25">
      <c r="B205" s="1864"/>
      <c r="G205" s="1859"/>
      <c r="J205" s="1865"/>
      <c r="K205" s="1865"/>
      <c r="S205" s="57"/>
      <c r="T205" s="57"/>
    </row>
    <row r="206" spans="2:20" s="1708" customFormat="1" x14ac:dyDescent="0.25">
      <c r="B206" s="1864"/>
      <c r="G206" s="1859"/>
      <c r="J206" s="1865"/>
      <c r="K206" s="1865"/>
      <c r="S206" s="57"/>
      <c r="T206" s="57"/>
    </row>
    <row r="207" spans="2:20" s="1708" customFormat="1" x14ac:dyDescent="0.25">
      <c r="B207" s="1864"/>
      <c r="G207" s="1859"/>
      <c r="J207" s="1865"/>
      <c r="K207" s="1865"/>
      <c r="S207" s="57"/>
      <c r="T207" s="57"/>
    </row>
    <row r="208" spans="2:20" s="1708" customFormat="1" x14ac:dyDescent="0.25">
      <c r="B208" s="1864"/>
      <c r="G208" s="1859"/>
      <c r="J208" s="1865"/>
      <c r="K208" s="1865"/>
      <c r="S208" s="57"/>
      <c r="T208" s="57"/>
    </row>
    <row r="209" spans="2:20" s="1708" customFormat="1" x14ac:dyDescent="0.25">
      <c r="B209" s="1864"/>
      <c r="G209" s="1859"/>
      <c r="J209" s="1865"/>
      <c r="K209" s="1865"/>
      <c r="S209" s="57"/>
      <c r="T209" s="57"/>
    </row>
    <row r="210" spans="2:20" s="1708" customFormat="1" x14ac:dyDescent="0.25">
      <c r="B210" s="1864"/>
      <c r="G210" s="1859"/>
      <c r="J210" s="1865"/>
      <c r="K210" s="1865"/>
      <c r="S210" s="57"/>
      <c r="T210" s="57"/>
    </row>
    <row r="211" spans="2:20" s="1708" customFormat="1" x14ac:dyDescent="0.25">
      <c r="B211" s="1864"/>
      <c r="G211" s="1859"/>
      <c r="J211" s="1865"/>
      <c r="K211" s="1865"/>
      <c r="S211" s="57"/>
      <c r="T211" s="57"/>
    </row>
    <row r="212" spans="2:20" s="1708" customFormat="1" x14ac:dyDescent="0.25">
      <c r="B212" s="1864"/>
      <c r="G212" s="1859"/>
      <c r="J212" s="1865"/>
      <c r="K212" s="1865"/>
      <c r="S212" s="57"/>
      <c r="T212" s="57"/>
    </row>
    <row r="213" spans="2:20" s="1708" customFormat="1" x14ac:dyDescent="0.25">
      <c r="B213" s="1864"/>
      <c r="G213" s="1859"/>
      <c r="J213" s="1865"/>
      <c r="K213" s="1865"/>
      <c r="S213" s="57"/>
      <c r="T213" s="57"/>
    </row>
    <row r="214" spans="2:20" s="1708" customFormat="1" x14ac:dyDescent="0.25">
      <c r="B214" s="1864"/>
      <c r="G214" s="1859"/>
      <c r="J214" s="1865"/>
      <c r="K214" s="1865"/>
      <c r="S214" s="57"/>
      <c r="T214" s="57"/>
    </row>
    <row r="215" spans="2:20" s="1708" customFormat="1" x14ac:dyDescent="0.25">
      <c r="B215" s="1864"/>
      <c r="G215" s="1859"/>
      <c r="J215" s="1865"/>
      <c r="K215" s="1865"/>
      <c r="S215" s="57"/>
      <c r="T215" s="57"/>
    </row>
    <row r="216" spans="2:20" s="1708" customFormat="1" x14ac:dyDescent="0.25">
      <c r="B216" s="1864"/>
      <c r="G216" s="1859"/>
      <c r="J216" s="1865"/>
      <c r="K216" s="1865"/>
      <c r="S216" s="57"/>
      <c r="T216" s="57"/>
    </row>
    <row r="217" spans="2:20" s="1708" customFormat="1" x14ac:dyDescent="0.25">
      <c r="B217" s="1864"/>
      <c r="G217" s="1859"/>
      <c r="J217" s="1865"/>
      <c r="K217" s="1865"/>
      <c r="S217" s="57"/>
      <c r="T217" s="57"/>
    </row>
    <row r="218" spans="2:20" s="1708" customFormat="1" x14ac:dyDescent="0.25">
      <c r="B218" s="1864"/>
      <c r="G218" s="1859"/>
      <c r="J218" s="1865"/>
      <c r="K218" s="1865"/>
      <c r="S218" s="57"/>
      <c r="T218" s="57"/>
    </row>
    <row r="219" spans="2:20" s="1708" customFormat="1" x14ac:dyDescent="0.25">
      <c r="B219" s="1864"/>
      <c r="G219" s="1859"/>
      <c r="J219" s="1865"/>
      <c r="K219" s="1865"/>
      <c r="S219" s="57"/>
      <c r="T219" s="57"/>
    </row>
    <row r="220" spans="2:20" s="1708" customFormat="1" x14ac:dyDescent="0.25">
      <c r="B220" s="1864"/>
      <c r="G220" s="1859"/>
      <c r="J220" s="1865"/>
      <c r="K220" s="1865"/>
      <c r="S220" s="57"/>
      <c r="T220" s="57"/>
    </row>
    <row r="221" spans="2:20" s="1708" customFormat="1" x14ac:dyDescent="0.25">
      <c r="B221" s="1864"/>
      <c r="G221" s="1859"/>
      <c r="J221" s="1865"/>
      <c r="K221" s="1865"/>
      <c r="S221" s="57"/>
      <c r="T221" s="57"/>
    </row>
    <row r="222" spans="2:20" s="1708" customFormat="1" x14ac:dyDescent="0.25">
      <c r="B222" s="1864"/>
      <c r="G222" s="1859"/>
      <c r="J222" s="1865"/>
      <c r="K222" s="1865"/>
      <c r="S222" s="57"/>
      <c r="T222" s="57"/>
    </row>
    <row r="223" spans="2:20" s="1708" customFormat="1" x14ac:dyDescent="0.25">
      <c r="B223" s="1864"/>
      <c r="G223" s="1859"/>
      <c r="J223" s="1865"/>
      <c r="K223" s="1865"/>
      <c r="S223" s="57"/>
      <c r="T223" s="57"/>
    </row>
    <row r="224" spans="2:20" s="1708" customFormat="1" x14ac:dyDescent="0.25">
      <c r="B224" s="1864"/>
      <c r="G224" s="1859"/>
      <c r="J224" s="1865"/>
      <c r="K224" s="1865"/>
      <c r="S224" s="57"/>
      <c r="T224" s="57"/>
    </row>
    <row r="225" spans="2:20" s="1708" customFormat="1" x14ac:dyDescent="0.25">
      <c r="B225" s="1864"/>
      <c r="G225" s="1859"/>
      <c r="J225" s="1865"/>
      <c r="K225" s="1865"/>
      <c r="S225" s="57"/>
      <c r="T225" s="57"/>
    </row>
    <row r="226" spans="2:20" s="1708" customFormat="1" x14ac:dyDescent="0.25">
      <c r="B226" s="1864"/>
      <c r="G226" s="1859"/>
      <c r="J226" s="1865"/>
      <c r="K226" s="1865"/>
      <c r="S226" s="57"/>
      <c r="T226" s="57"/>
    </row>
    <row r="227" spans="2:20" s="1708" customFormat="1" x14ac:dyDescent="0.25">
      <c r="B227" s="1864"/>
      <c r="G227" s="1859"/>
      <c r="J227" s="1865"/>
      <c r="K227" s="1865"/>
      <c r="S227" s="57"/>
      <c r="T227" s="57"/>
    </row>
    <row r="228" spans="2:20" s="1708" customFormat="1" x14ac:dyDescent="0.25">
      <c r="B228" s="1864"/>
      <c r="G228" s="1859"/>
      <c r="J228" s="1865"/>
      <c r="K228" s="1865"/>
      <c r="S228" s="57"/>
      <c r="T228" s="57"/>
    </row>
    <row r="229" spans="2:20" s="1708" customFormat="1" x14ac:dyDescent="0.25">
      <c r="B229" s="1864"/>
      <c r="G229" s="1859"/>
      <c r="J229" s="1865"/>
      <c r="K229" s="1865"/>
      <c r="S229" s="57"/>
      <c r="T229" s="57"/>
    </row>
    <row r="230" spans="2:20" s="1708" customFormat="1" x14ac:dyDescent="0.25">
      <c r="B230" s="1864"/>
      <c r="G230" s="1859"/>
      <c r="J230" s="1865"/>
      <c r="K230" s="1865"/>
      <c r="S230" s="57"/>
      <c r="T230" s="57"/>
    </row>
    <row r="231" spans="2:20" s="1708" customFormat="1" x14ac:dyDescent="0.25">
      <c r="B231" s="1864"/>
      <c r="G231" s="1859"/>
      <c r="J231" s="1865"/>
      <c r="K231" s="1865"/>
      <c r="S231" s="57"/>
      <c r="T231" s="57"/>
    </row>
    <row r="232" spans="2:20" s="1708" customFormat="1" x14ac:dyDescent="0.25">
      <c r="B232" s="1864"/>
      <c r="G232" s="1859"/>
      <c r="J232" s="1865"/>
      <c r="K232" s="1865"/>
      <c r="S232" s="57"/>
      <c r="T232" s="57"/>
    </row>
    <row r="233" spans="2:20" s="1708" customFormat="1" x14ac:dyDescent="0.25">
      <c r="B233" s="1864"/>
      <c r="G233" s="1859"/>
      <c r="J233" s="1865"/>
      <c r="K233" s="1865"/>
      <c r="S233" s="57"/>
      <c r="T233" s="57"/>
    </row>
    <row r="234" spans="2:20" s="1708" customFormat="1" x14ac:dyDescent="0.25">
      <c r="B234" s="1864"/>
      <c r="G234" s="1859"/>
      <c r="J234" s="1865"/>
      <c r="K234" s="1865"/>
      <c r="S234" s="57"/>
      <c r="T234" s="57"/>
    </row>
    <row r="235" spans="2:20" s="1708" customFormat="1" x14ac:dyDescent="0.25">
      <c r="B235" s="1864"/>
      <c r="G235" s="1859"/>
      <c r="J235" s="1865"/>
      <c r="K235" s="1865"/>
      <c r="S235" s="57"/>
      <c r="T235" s="57"/>
    </row>
    <row r="236" spans="2:20" s="1708" customFormat="1" x14ac:dyDescent="0.25">
      <c r="B236" s="1864"/>
      <c r="G236" s="1859"/>
      <c r="J236" s="1865"/>
      <c r="K236" s="1865"/>
      <c r="S236" s="57"/>
      <c r="T236" s="57"/>
    </row>
    <row r="237" spans="2:20" s="1708" customFormat="1" x14ac:dyDescent="0.25">
      <c r="B237" s="1864"/>
      <c r="G237" s="1859"/>
      <c r="J237" s="1865"/>
      <c r="K237" s="1865"/>
      <c r="S237" s="57"/>
      <c r="T237" s="57"/>
    </row>
    <row r="238" spans="2:20" s="1708" customFormat="1" x14ac:dyDescent="0.25">
      <c r="B238" s="1864"/>
      <c r="G238" s="1859"/>
      <c r="J238" s="1865"/>
      <c r="K238" s="1865"/>
      <c r="S238" s="57"/>
      <c r="T238" s="57"/>
    </row>
    <row r="239" spans="2:20" s="1708" customFormat="1" x14ac:dyDescent="0.25">
      <c r="B239" s="1864"/>
      <c r="G239" s="1859"/>
      <c r="J239" s="1865"/>
      <c r="K239" s="1865"/>
      <c r="S239" s="57"/>
      <c r="T239" s="57"/>
    </row>
    <row r="240" spans="2:20" s="1708" customFormat="1" x14ac:dyDescent="0.25">
      <c r="B240" s="1864"/>
      <c r="G240" s="1859"/>
      <c r="J240" s="1865"/>
      <c r="K240" s="1865"/>
      <c r="S240" s="57"/>
      <c r="T240" s="57"/>
    </row>
    <row r="241" spans="2:20" s="1708" customFormat="1" x14ac:dyDescent="0.25">
      <c r="B241" s="1864"/>
      <c r="G241" s="1859"/>
      <c r="J241" s="1865"/>
      <c r="K241" s="1865"/>
      <c r="S241" s="57"/>
      <c r="T241" s="57"/>
    </row>
    <row r="242" spans="2:20" s="1708" customFormat="1" x14ac:dyDescent="0.25">
      <c r="B242" s="1864"/>
      <c r="G242" s="1859"/>
      <c r="J242" s="1865"/>
      <c r="K242" s="1865"/>
      <c r="S242" s="57"/>
      <c r="T242" s="57"/>
    </row>
    <row r="243" spans="2:20" s="1708" customFormat="1" x14ac:dyDescent="0.25">
      <c r="B243" s="1864"/>
      <c r="G243" s="1859"/>
      <c r="J243" s="1865"/>
      <c r="K243" s="1865"/>
      <c r="S243" s="57"/>
      <c r="T243" s="57"/>
    </row>
    <row r="244" spans="2:20" s="1708" customFormat="1" x14ac:dyDescent="0.25">
      <c r="B244" s="1864"/>
      <c r="G244" s="1859"/>
      <c r="J244" s="1865"/>
      <c r="K244" s="1865"/>
      <c r="S244" s="57"/>
      <c r="T244" s="57"/>
    </row>
    <row r="245" spans="2:20" s="1708" customFormat="1" x14ac:dyDescent="0.25">
      <c r="B245" s="1864"/>
      <c r="G245" s="1859"/>
      <c r="J245" s="1865"/>
      <c r="K245" s="1865"/>
      <c r="S245" s="57"/>
      <c r="T245" s="57"/>
    </row>
    <row r="246" spans="2:20" s="1708" customFormat="1" x14ac:dyDescent="0.25">
      <c r="B246" s="1864"/>
      <c r="G246" s="1859"/>
      <c r="J246" s="1865"/>
      <c r="K246" s="1865"/>
      <c r="S246" s="57"/>
      <c r="T246" s="57"/>
    </row>
    <row r="247" spans="2:20" s="1708" customFormat="1" x14ac:dyDescent="0.25">
      <c r="B247" s="1864"/>
      <c r="G247" s="1859"/>
      <c r="J247" s="1865"/>
      <c r="K247" s="1865"/>
      <c r="S247" s="57"/>
      <c r="T247" s="57"/>
    </row>
    <row r="248" spans="2:20" s="1708" customFormat="1" x14ac:dyDescent="0.25">
      <c r="B248" s="1864"/>
      <c r="G248" s="1859"/>
      <c r="J248" s="1865"/>
      <c r="K248" s="1865"/>
      <c r="S248" s="57"/>
      <c r="T248" s="57"/>
    </row>
    <row r="249" spans="2:20" s="1708" customFormat="1" x14ac:dyDescent="0.25">
      <c r="B249" s="1864"/>
      <c r="G249" s="1859"/>
      <c r="J249" s="1865"/>
      <c r="K249" s="1865"/>
      <c r="S249" s="57"/>
      <c r="T249" s="57"/>
    </row>
    <row r="250" spans="2:20" s="1708" customFormat="1" x14ac:dyDescent="0.25">
      <c r="B250" s="1864"/>
      <c r="G250" s="1859"/>
      <c r="J250" s="1865"/>
      <c r="K250" s="1865"/>
      <c r="S250" s="57"/>
      <c r="T250" s="57"/>
    </row>
    <row r="251" spans="2:20" s="1708" customFormat="1" x14ac:dyDescent="0.25">
      <c r="B251" s="1864"/>
      <c r="G251" s="1859"/>
      <c r="J251" s="1865"/>
      <c r="K251" s="1865"/>
      <c r="S251" s="57"/>
      <c r="T251" s="57"/>
    </row>
    <row r="252" spans="2:20" s="1708" customFormat="1" x14ac:dyDescent="0.25">
      <c r="B252" s="1864"/>
      <c r="G252" s="1859"/>
      <c r="J252" s="1865"/>
      <c r="K252" s="1865"/>
      <c r="S252" s="57"/>
      <c r="T252" s="57"/>
    </row>
    <row r="253" spans="2:20" s="1708" customFormat="1" x14ac:dyDescent="0.25">
      <c r="B253" s="1864"/>
      <c r="G253" s="1859"/>
      <c r="J253" s="1865"/>
      <c r="K253" s="1865"/>
      <c r="S253" s="57"/>
      <c r="T253" s="57"/>
    </row>
    <row r="254" spans="2:20" s="1708" customFormat="1" x14ac:dyDescent="0.25">
      <c r="B254" s="1864"/>
      <c r="G254" s="1859"/>
      <c r="J254" s="1865"/>
      <c r="K254" s="1865"/>
      <c r="S254" s="57"/>
      <c r="T254" s="57"/>
    </row>
    <row r="255" spans="2:20" s="1708" customFormat="1" x14ac:dyDescent="0.25">
      <c r="B255" s="1864"/>
      <c r="G255" s="1859"/>
      <c r="J255" s="1865"/>
      <c r="K255" s="1865"/>
      <c r="S255" s="57"/>
      <c r="T255" s="57"/>
    </row>
    <row r="256" spans="2:20" s="1708" customFormat="1" x14ac:dyDescent="0.25">
      <c r="B256" s="1864"/>
      <c r="G256" s="1859"/>
      <c r="J256" s="1865"/>
      <c r="K256" s="1865"/>
      <c r="S256" s="57"/>
      <c r="T256" s="57"/>
    </row>
    <row r="257" spans="2:20" s="1708" customFormat="1" x14ac:dyDescent="0.25">
      <c r="B257" s="1864"/>
      <c r="G257" s="1859"/>
      <c r="J257" s="1865"/>
      <c r="K257" s="1865"/>
      <c r="S257" s="57"/>
      <c r="T257" s="57"/>
    </row>
    <row r="258" spans="2:20" s="1708" customFormat="1" x14ac:dyDescent="0.25">
      <c r="B258" s="1864"/>
      <c r="G258" s="1859"/>
      <c r="J258" s="1865"/>
      <c r="K258" s="1865"/>
      <c r="S258" s="57"/>
      <c r="T258" s="57"/>
    </row>
    <row r="259" spans="2:20" s="1708" customFormat="1" x14ac:dyDescent="0.25">
      <c r="B259" s="1864"/>
      <c r="G259" s="1859"/>
      <c r="J259" s="1865"/>
      <c r="K259" s="1865"/>
      <c r="S259" s="57"/>
      <c r="T259" s="57"/>
    </row>
    <row r="260" spans="2:20" s="1708" customFormat="1" x14ac:dyDescent="0.25">
      <c r="B260" s="1864"/>
      <c r="G260" s="1859"/>
      <c r="J260" s="1865"/>
      <c r="K260" s="1865"/>
      <c r="S260" s="57"/>
      <c r="T260" s="57"/>
    </row>
    <row r="261" spans="2:20" s="1708" customFormat="1" x14ac:dyDescent="0.25">
      <c r="B261" s="1864"/>
      <c r="G261" s="1859"/>
      <c r="J261" s="1865"/>
      <c r="K261" s="1865"/>
      <c r="S261" s="57"/>
      <c r="T261" s="57"/>
    </row>
    <row r="262" spans="2:20" s="1708" customFormat="1" x14ac:dyDescent="0.25">
      <c r="B262" s="1864"/>
      <c r="G262" s="1859"/>
      <c r="J262" s="1865"/>
      <c r="K262" s="1865"/>
      <c r="S262" s="57"/>
      <c r="T262" s="57"/>
    </row>
    <row r="263" spans="2:20" s="1708" customFormat="1" x14ac:dyDescent="0.25">
      <c r="B263" s="1864"/>
      <c r="G263" s="1859"/>
      <c r="J263" s="1865"/>
      <c r="K263" s="1865"/>
      <c r="S263" s="57"/>
      <c r="T263" s="57"/>
    </row>
    <row r="264" spans="2:20" s="1708" customFormat="1" x14ac:dyDescent="0.25">
      <c r="B264" s="1864"/>
      <c r="G264" s="1859"/>
      <c r="J264" s="1865"/>
      <c r="K264" s="1865"/>
      <c r="S264" s="57"/>
      <c r="T264" s="57"/>
    </row>
    <row r="265" spans="2:20" s="1708" customFormat="1" x14ac:dyDescent="0.25">
      <c r="B265" s="1864"/>
      <c r="G265" s="1859"/>
      <c r="J265" s="1865"/>
      <c r="K265" s="1865"/>
      <c r="S265" s="57"/>
      <c r="T265" s="57"/>
    </row>
    <row r="266" spans="2:20" s="1708" customFormat="1" x14ac:dyDescent="0.25">
      <c r="B266" s="1864"/>
      <c r="G266" s="1859"/>
      <c r="J266" s="1865"/>
      <c r="K266" s="1865"/>
      <c r="S266" s="57"/>
      <c r="T266" s="57"/>
    </row>
    <row r="267" spans="2:20" s="1708" customFormat="1" x14ac:dyDescent="0.25">
      <c r="B267" s="1864"/>
      <c r="G267" s="1859"/>
      <c r="J267" s="1865"/>
      <c r="K267" s="1865"/>
      <c r="S267" s="57"/>
      <c r="T267" s="57"/>
    </row>
    <row r="268" spans="2:20" s="1708" customFormat="1" x14ac:dyDescent="0.25">
      <c r="B268" s="1864"/>
      <c r="G268" s="1859"/>
      <c r="J268" s="1865"/>
      <c r="K268" s="1865"/>
      <c r="S268" s="57"/>
      <c r="T268" s="57"/>
    </row>
    <row r="269" spans="2:20" s="1708" customFormat="1" x14ac:dyDescent="0.25">
      <c r="B269" s="1864"/>
      <c r="G269" s="1859"/>
      <c r="J269" s="1865"/>
      <c r="K269" s="1865"/>
      <c r="S269" s="57"/>
      <c r="T269" s="57"/>
    </row>
    <row r="270" spans="2:20" s="1708" customFormat="1" x14ac:dyDescent="0.25">
      <c r="B270" s="1864"/>
      <c r="G270" s="1859"/>
      <c r="J270" s="1865"/>
      <c r="K270" s="1865"/>
      <c r="S270" s="57"/>
      <c r="T270" s="57"/>
    </row>
    <row r="271" spans="2:20" s="1708" customFormat="1" x14ac:dyDescent="0.25">
      <c r="B271" s="1864"/>
      <c r="G271" s="1859"/>
      <c r="J271" s="1865"/>
      <c r="K271" s="1865"/>
      <c r="S271" s="57"/>
      <c r="T271" s="57"/>
    </row>
    <row r="272" spans="2:20" s="1708" customFormat="1" x14ac:dyDescent="0.25">
      <c r="B272" s="1864"/>
      <c r="G272" s="1859"/>
      <c r="J272" s="1865"/>
      <c r="K272" s="1865"/>
      <c r="S272" s="57"/>
      <c r="T272" s="57"/>
    </row>
    <row r="273" spans="2:20" s="1708" customFormat="1" x14ac:dyDescent="0.25">
      <c r="B273" s="1864"/>
      <c r="G273" s="1859"/>
      <c r="J273" s="1865"/>
      <c r="K273" s="1865"/>
      <c r="S273" s="57"/>
      <c r="T273" s="57"/>
    </row>
    <row r="274" spans="2:20" s="1708" customFormat="1" x14ac:dyDescent="0.25">
      <c r="B274" s="1864"/>
      <c r="G274" s="1859"/>
      <c r="J274" s="1865"/>
      <c r="K274" s="1865"/>
      <c r="S274" s="57"/>
      <c r="T274" s="57"/>
    </row>
    <row r="275" spans="2:20" s="1708" customFormat="1" x14ac:dyDescent="0.25">
      <c r="B275" s="1864"/>
      <c r="G275" s="1859"/>
      <c r="J275" s="1865"/>
      <c r="K275" s="1865"/>
      <c r="S275" s="57"/>
      <c r="T275" s="57"/>
    </row>
    <row r="276" spans="2:20" s="1708" customFormat="1" x14ac:dyDescent="0.25">
      <c r="B276" s="1864"/>
      <c r="G276" s="1859"/>
      <c r="J276" s="1865"/>
      <c r="K276" s="1865"/>
      <c r="S276" s="57"/>
      <c r="T276" s="57"/>
    </row>
    <row r="277" spans="2:20" s="1708" customFormat="1" x14ac:dyDescent="0.25">
      <c r="B277" s="1864"/>
      <c r="G277" s="1859"/>
      <c r="J277" s="1865"/>
      <c r="K277" s="1865"/>
      <c r="S277" s="57"/>
      <c r="T277" s="57"/>
    </row>
    <row r="278" spans="2:20" s="1708" customFormat="1" x14ac:dyDescent="0.25">
      <c r="B278" s="1864"/>
      <c r="G278" s="1859"/>
      <c r="J278" s="1865"/>
      <c r="K278" s="1865"/>
      <c r="S278" s="57"/>
      <c r="T278" s="57"/>
    </row>
    <row r="279" spans="2:20" s="1708" customFormat="1" x14ac:dyDescent="0.25">
      <c r="B279" s="1864"/>
      <c r="G279" s="1859"/>
      <c r="J279" s="1865"/>
      <c r="K279" s="1865"/>
      <c r="S279" s="57"/>
      <c r="T279" s="57"/>
    </row>
    <row r="280" spans="2:20" s="1708" customFormat="1" x14ac:dyDescent="0.25">
      <c r="B280" s="1864"/>
      <c r="G280" s="1859"/>
      <c r="J280" s="1865"/>
      <c r="K280" s="1865"/>
      <c r="S280" s="57"/>
      <c r="T280" s="57"/>
    </row>
    <row r="281" spans="2:20" s="1708" customFormat="1" x14ac:dyDescent="0.25">
      <c r="B281" s="1864"/>
      <c r="G281" s="1859"/>
      <c r="J281" s="1865"/>
      <c r="K281" s="1865"/>
      <c r="S281" s="57"/>
      <c r="T281" s="57"/>
    </row>
    <row r="282" spans="2:20" s="1708" customFormat="1" x14ac:dyDescent="0.25">
      <c r="B282" s="1864"/>
      <c r="G282" s="1859"/>
      <c r="J282" s="1865"/>
      <c r="K282" s="1865"/>
      <c r="S282" s="57"/>
      <c r="T282" s="57"/>
    </row>
    <row r="283" spans="2:20" s="1708" customFormat="1" x14ac:dyDescent="0.25">
      <c r="B283" s="1864"/>
      <c r="G283" s="1859"/>
      <c r="J283" s="1865"/>
      <c r="K283" s="1865"/>
      <c r="S283" s="57"/>
      <c r="T283" s="57"/>
    </row>
    <row r="284" spans="2:20" s="1708" customFormat="1" x14ac:dyDescent="0.25">
      <c r="B284" s="1864"/>
      <c r="G284" s="1859"/>
      <c r="J284" s="1865"/>
      <c r="K284" s="1865"/>
      <c r="S284" s="57"/>
      <c r="T284" s="57"/>
    </row>
    <row r="285" spans="2:20" s="1708" customFormat="1" x14ac:dyDescent="0.25">
      <c r="B285" s="1864"/>
      <c r="G285" s="1859"/>
      <c r="J285" s="1865"/>
      <c r="K285" s="1865"/>
      <c r="S285" s="57"/>
      <c r="T285" s="57"/>
    </row>
    <row r="286" spans="2:20" s="1708" customFormat="1" x14ac:dyDescent="0.25">
      <c r="B286" s="1864"/>
      <c r="G286" s="1859"/>
      <c r="J286" s="1865"/>
      <c r="K286" s="1865"/>
      <c r="S286" s="57"/>
      <c r="T286" s="57"/>
    </row>
    <row r="287" spans="2:20" s="1708" customFormat="1" x14ac:dyDescent="0.25">
      <c r="B287" s="1864"/>
      <c r="G287" s="1859"/>
      <c r="J287" s="1865"/>
      <c r="K287" s="1865"/>
      <c r="S287" s="57"/>
      <c r="T287" s="57"/>
    </row>
    <row r="288" spans="2:20" s="1708" customFormat="1" x14ac:dyDescent="0.25">
      <c r="B288" s="1864"/>
      <c r="G288" s="1859"/>
      <c r="J288" s="1865"/>
      <c r="K288" s="1865"/>
      <c r="S288" s="57"/>
      <c r="T288" s="57"/>
    </row>
    <row r="289" spans="2:20" s="1708" customFormat="1" x14ac:dyDescent="0.25">
      <c r="B289" s="1864"/>
      <c r="G289" s="1859"/>
      <c r="J289" s="1865"/>
      <c r="K289" s="1865"/>
      <c r="S289" s="57"/>
      <c r="T289" s="57"/>
    </row>
    <row r="290" spans="2:20" s="1708" customFormat="1" x14ac:dyDescent="0.25">
      <c r="B290" s="1864"/>
      <c r="G290" s="1859"/>
      <c r="J290" s="1865"/>
      <c r="K290" s="1865"/>
      <c r="S290" s="57"/>
      <c r="T290" s="57"/>
    </row>
    <row r="291" spans="2:20" s="1708" customFormat="1" x14ac:dyDescent="0.25">
      <c r="B291" s="1864"/>
      <c r="G291" s="1859"/>
      <c r="J291" s="1865"/>
      <c r="K291" s="1865"/>
      <c r="S291" s="57"/>
      <c r="T291" s="57"/>
    </row>
    <row r="292" spans="2:20" s="1708" customFormat="1" x14ac:dyDescent="0.25">
      <c r="B292" s="1864"/>
      <c r="G292" s="1859"/>
      <c r="J292" s="1865"/>
      <c r="K292" s="1865"/>
      <c r="S292" s="57"/>
      <c r="T292" s="57"/>
    </row>
    <row r="293" spans="2:20" s="1708" customFormat="1" x14ac:dyDescent="0.25">
      <c r="B293" s="1864"/>
      <c r="G293" s="1859"/>
      <c r="J293" s="1865"/>
      <c r="K293" s="1865"/>
      <c r="S293" s="57"/>
      <c r="T293" s="57"/>
    </row>
    <row r="294" spans="2:20" s="1708" customFormat="1" x14ac:dyDescent="0.25">
      <c r="B294" s="1864"/>
      <c r="G294" s="1859"/>
      <c r="J294" s="1865"/>
      <c r="K294" s="1865"/>
      <c r="S294" s="57"/>
      <c r="T294" s="57"/>
    </row>
    <row r="295" spans="2:20" s="1708" customFormat="1" x14ac:dyDescent="0.25">
      <c r="B295" s="1864"/>
      <c r="G295" s="1859"/>
      <c r="J295" s="1865"/>
      <c r="K295" s="1865"/>
      <c r="S295" s="57"/>
      <c r="T295" s="57"/>
    </row>
    <row r="296" spans="2:20" s="1708" customFormat="1" x14ac:dyDescent="0.25">
      <c r="B296" s="1864"/>
      <c r="G296" s="1859"/>
      <c r="J296" s="1865"/>
      <c r="K296" s="1865"/>
      <c r="S296" s="57"/>
      <c r="T296" s="57"/>
    </row>
    <row r="297" spans="2:20" s="1708" customFormat="1" x14ac:dyDescent="0.25">
      <c r="B297" s="1864"/>
      <c r="G297" s="1859"/>
      <c r="J297" s="1865"/>
      <c r="K297" s="1865"/>
      <c r="S297" s="57"/>
      <c r="T297" s="57"/>
    </row>
    <row r="298" spans="2:20" s="1708" customFormat="1" x14ac:dyDescent="0.25">
      <c r="B298" s="1864"/>
      <c r="G298" s="1859"/>
      <c r="J298" s="1865"/>
      <c r="K298" s="1865"/>
      <c r="S298" s="57"/>
      <c r="T298" s="57"/>
    </row>
    <row r="299" spans="2:20" s="1708" customFormat="1" x14ac:dyDescent="0.25">
      <c r="B299" s="1864"/>
      <c r="G299" s="1859"/>
      <c r="J299" s="1865"/>
      <c r="K299" s="1865"/>
      <c r="S299" s="57"/>
      <c r="T299" s="57"/>
    </row>
    <row r="300" spans="2:20" s="1708" customFormat="1" x14ac:dyDescent="0.25">
      <c r="B300" s="1864"/>
      <c r="G300" s="1859"/>
      <c r="J300" s="1865"/>
      <c r="K300" s="1865"/>
      <c r="S300" s="57"/>
      <c r="T300" s="57"/>
    </row>
    <row r="301" spans="2:20" s="1708" customFormat="1" x14ac:dyDescent="0.25">
      <c r="B301" s="1864"/>
      <c r="G301" s="1859"/>
      <c r="J301" s="1865"/>
      <c r="K301" s="1865"/>
      <c r="S301" s="57"/>
      <c r="T301" s="57"/>
    </row>
    <row r="302" spans="2:20" s="1708" customFormat="1" x14ac:dyDescent="0.25">
      <c r="B302" s="1864"/>
      <c r="G302" s="1859"/>
      <c r="J302" s="1865"/>
      <c r="K302" s="1865"/>
      <c r="S302" s="57"/>
      <c r="T302" s="57"/>
    </row>
    <row r="303" spans="2:20" s="1708" customFormat="1" x14ac:dyDescent="0.25">
      <c r="B303" s="1864"/>
      <c r="G303" s="1859"/>
      <c r="J303" s="1865"/>
      <c r="K303" s="1865"/>
      <c r="S303" s="57"/>
      <c r="T303" s="57"/>
    </row>
    <row r="304" spans="2:20" s="1708" customFormat="1" x14ac:dyDescent="0.25">
      <c r="B304" s="1864"/>
      <c r="G304" s="1859"/>
      <c r="J304" s="1865"/>
      <c r="K304" s="1865"/>
      <c r="S304" s="57"/>
      <c r="T304" s="57"/>
    </row>
    <row r="305" spans="2:20" s="1708" customFormat="1" x14ac:dyDescent="0.25">
      <c r="B305" s="1864"/>
      <c r="G305" s="1859"/>
      <c r="J305" s="1865"/>
      <c r="K305" s="1865"/>
      <c r="S305" s="57"/>
      <c r="T305" s="57"/>
    </row>
    <row r="306" spans="2:20" s="1708" customFormat="1" x14ac:dyDescent="0.25">
      <c r="B306" s="1864"/>
      <c r="G306" s="1859"/>
      <c r="J306" s="1865"/>
      <c r="K306" s="1865"/>
      <c r="S306" s="57"/>
      <c r="T306" s="57"/>
    </row>
    <row r="307" spans="2:20" s="1708" customFormat="1" x14ac:dyDescent="0.25">
      <c r="B307" s="1864"/>
      <c r="G307" s="1859"/>
      <c r="J307" s="1865"/>
      <c r="K307" s="1865"/>
      <c r="S307" s="57"/>
      <c r="T307" s="57"/>
    </row>
    <row r="308" spans="2:20" s="1708" customFormat="1" x14ac:dyDescent="0.25">
      <c r="B308" s="1864"/>
      <c r="G308" s="1859"/>
      <c r="J308" s="1865"/>
      <c r="K308" s="1865"/>
      <c r="S308" s="57"/>
      <c r="T308" s="57"/>
    </row>
    <row r="309" spans="2:20" s="1708" customFormat="1" x14ac:dyDescent="0.25">
      <c r="B309" s="1864"/>
      <c r="G309" s="1859"/>
      <c r="J309" s="1865"/>
      <c r="K309" s="1865"/>
      <c r="S309" s="57"/>
      <c r="T309" s="57"/>
    </row>
    <row r="310" spans="2:20" s="1708" customFormat="1" x14ac:dyDescent="0.25">
      <c r="B310" s="1864"/>
      <c r="G310" s="1859"/>
      <c r="J310" s="1865"/>
      <c r="K310" s="1865"/>
      <c r="S310" s="57"/>
      <c r="T310" s="57"/>
    </row>
    <row r="311" spans="2:20" s="1708" customFormat="1" x14ac:dyDescent="0.25">
      <c r="B311" s="1864"/>
      <c r="G311" s="1859"/>
      <c r="J311" s="1865"/>
      <c r="K311" s="1865"/>
      <c r="S311" s="57"/>
      <c r="T311" s="57"/>
    </row>
    <row r="312" spans="2:20" s="1708" customFormat="1" x14ac:dyDescent="0.25">
      <c r="B312" s="1864"/>
      <c r="G312" s="1859"/>
      <c r="J312" s="1865"/>
      <c r="K312" s="1865"/>
      <c r="S312" s="57"/>
      <c r="T312" s="57"/>
    </row>
    <row r="313" spans="2:20" s="1708" customFormat="1" x14ac:dyDescent="0.25">
      <c r="B313" s="1864"/>
      <c r="G313" s="1859"/>
      <c r="J313" s="1865"/>
      <c r="K313" s="1865"/>
      <c r="S313" s="57"/>
      <c r="T313" s="57"/>
    </row>
    <row r="314" spans="2:20" s="1708" customFormat="1" x14ac:dyDescent="0.25">
      <c r="B314" s="1864"/>
      <c r="G314" s="1859"/>
      <c r="J314" s="1865"/>
      <c r="K314" s="1865"/>
      <c r="S314" s="57"/>
      <c r="T314" s="57"/>
    </row>
    <row r="315" spans="2:20" s="1708" customFormat="1" x14ac:dyDescent="0.25">
      <c r="B315" s="1864"/>
      <c r="G315" s="1859"/>
      <c r="J315" s="1865"/>
      <c r="K315" s="1865"/>
      <c r="S315" s="57"/>
      <c r="T315" s="57"/>
    </row>
    <row r="316" spans="2:20" s="1708" customFormat="1" x14ac:dyDescent="0.25">
      <c r="B316" s="1864"/>
      <c r="G316" s="1859"/>
      <c r="J316" s="1865"/>
      <c r="K316" s="1865"/>
      <c r="S316" s="57"/>
      <c r="T316" s="57"/>
    </row>
    <row r="317" spans="2:20" s="1708" customFormat="1" x14ac:dyDescent="0.25">
      <c r="B317" s="1864"/>
      <c r="G317" s="1859"/>
      <c r="J317" s="1865"/>
      <c r="K317" s="1865"/>
      <c r="S317" s="57"/>
      <c r="T317" s="57"/>
    </row>
    <row r="318" spans="2:20" s="1708" customFormat="1" x14ac:dyDescent="0.25">
      <c r="B318" s="1864"/>
      <c r="G318" s="1859"/>
      <c r="J318" s="1865"/>
      <c r="K318" s="1865"/>
      <c r="S318" s="57"/>
      <c r="T318" s="57"/>
    </row>
    <row r="319" spans="2:20" s="1708" customFormat="1" x14ac:dyDescent="0.25">
      <c r="B319" s="1864"/>
      <c r="G319" s="1859"/>
      <c r="J319" s="1865"/>
      <c r="K319" s="1865"/>
      <c r="S319" s="57"/>
      <c r="T319" s="57"/>
    </row>
    <row r="320" spans="2:20" s="1708" customFormat="1" x14ac:dyDescent="0.25">
      <c r="B320" s="1864"/>
      <c r="G320" s="1859"/>
      <c r="J320" s="1865"/>
      <c r="K320" s="1865"/>
      <c r="S320" s="57"/>
      <c r="T320" s="57"/>
    </row>
    <row r="321" spans="2:20" s="1708" customFormat="1" x14ac:dyDescent="0.25">
      <c r="B321" s="1864"/>
      <c r="G321" s="1859"/>
      <c r="J321" s="1865"/>
      <c r="K321" s="1865"/>
      <c r="S321" s="57"/>
      <c r="T321" s="57"/>
    </row>
    <row r="322" spans="2:20" s="1708" customFormat="1" x14ac:dyDescent="0.25">
      <c r="B322" s="1864"/>
      <c r="G322" s="1859"/>
      <c r="J322" s="1865"/>
      <c r="K322" s="1865"/>
      <c r="S322" s="57"/>
      <c r="T322" s="57"/>
    </row>
    <row r="323" spans="2:20" s="1708" customFormat="1" x14ac:dyDescent="0.25">
      <c r="B323" s="1864"/>
      <c r="G323" s="1859"/>
      <c r="J323" s="1865"/>
      <c r="K323" s="1865"/>
      <c r="S323" s="57"/>
      <c r="T323" s="57"/>
    </row>
    <row r="324" spans="2:20" s="1708" customFormat="1" x14ac:dyDescent="0.25">
      <c r="B324" s="1864"/>
      <c r="G324" s="1859"/>
      <c r="J324" s="1865"/>
      <c r="K324" s="1865"/>
      <c r="S324" s="57"/>
      <c r="T324" s="57"/>
    </row>
    <row r="325" spans="2:20" s="1708" customFormat="1" x14ac:dyDescent="0.25">
      <c r="B325" s="1864"/>
      <c r="G325" s="1859"/>
      <c r="J325" s="1865"/>
      <c r="K325" s="1865"/>
      <c r="S325" s="57"/>
      <c r="T325" s="57"/>
    </row>
    <row r="326" spans="2:20" s="1708" customFormat="1" x14ac:dyDescent="0.25">
      <c r="B326" s="1864"/>
      <c r="G326" s="1859"/>
      <c r="J326" s="1865"/>
      <c r="K326" s="1865"/>
      <c r="S326" s="57"/>
      <c r="T326" s="57"/>
    </row>
    <row r="327" spans="2:20" s="1708" customFormat="1" x14ac:dyDescent="0.25">
      <c r="B327" s="1864"/>
      <c r="G327" s="1859"/>
      <c r="J327" s="1865"/>
      <c r="K327" s="1865"/>
      <c r="S327" s="57"/>
      <c r="T327" s="57"/>
    </row>
    <row r="328" spans="2:20" s="1708" customFormat="1" x14ac:dyDescent="0.25">
      <c r="B328" s="1864"/>
      <c r="G328" s="1859"/>
      <c r="J328" s="1865"/>
      <c r="K328" s="1865"/>
      <c r="S328" s="57"/>
      <c r="T328" s="57"/>
    </row>
    <row r="329" spans="2:20" s="1708" customFormat="1" x14ac:dyDescent="0.25">
      <c r="B329" s="1864"/>
      <c r="G329" s="1859"/>
      <c r="J329" s="1865"/>
      <c r="K329" s="1865"/>
      <c r="S329" s="57"/>
      <c r="T329" s="57"/>
    </row>
    <row r="330" spans="2:20" s="1708" customFormat="1" x14ac:dyDescent="0.25">
      <c r="B330" s="1864"/>
      <c r="G330" s="1859"/>
      <c r="J330" s="1865"/>
      <c r="K330" s="1865"/>
      <c r="S330" s="57"/>
      <c r="T330" s="57"/>
    </row>
    <row r="331" spans="2:20" s="1708" customFormat="1" x14ac:dyDescent="0.25">
      <c r="B331" s="1864"/>
      <c r="G331" s="1859"/>
      <c r="J331" s="1865"/>
      <c r="K331" s="1865"/>
      <c r="S331" s="57"/>
      <c r="T331" s="57"/>
    </row>
    <row r="332" spans="2:20" s="1708" customFormat="1" x14ac:dyDescent="0.25">
      <c r="B332" s="1864"/>
      <c r="G332" s="1859"/>
      <c r="J332" s="1865"/>
      <c r="K332" s="1865"/>
      <c r="S332" s="57"/>
      <c r="T332" s="57"/>
    </row>
    <row r="333" spans="2:20" s="1708" customFormat="1" x14ac:dyDescent="0.25">
      <c r="B333" s="1864"/>
      <c r="G333" s="1859"/>
      <c r="J333" s="1865"/>
      <c r="K333" s="1865"/>
      <c r="S333" s="57"/>
      <c r="T333" s="57"/>
    </row>
    <row r="334" spans="2:20" s="1708" customFormat="1" x14ac:dyDescent="0.25">
      <c r="B334" s="1864"/>
      <c r="G334" s="1859"/>
      <c r="J334" s="1865"/>
      <c r="K334" s="1865"/>
      <c r="S334" s="57"/>
      <c r="T334" s="57"/>
    </row>
    <row r="335" spans="2:20" s="1708" customFormat="1" x14ac:dyDescent="0.25">
      <c r="B335" s="1864"/>
      <c r="G335" s="1859"/>
      <c r="J335" s="1865"/>
      <c r="K335" s="1865"/>
      <c r="S335" s="57"/>
      <c r="T335" s="57"/>
    </row>
    <row r="336" spans="2:20" s="1708" customFormat="1" x14ac:dyDescent="0.25">
      <c r="B336" s="1864"/>
      <c r="G336" s="1859"/>
      <c r="J336" s="1865"/>
      <c r="K336" s="1865"/>
      <c r="S336" s="57"/>
      <c r="T336" s="57"/>
    </row>
    <row r="337" spans="2:20" s="1708" customFormat="1" x14ac:dyDescent="0.25">
      <c r="B337" s="1864"/>
      <c r="G337" s="1859"/>
      <c r="J337" s="1865"/>
      <c r="K337" s="1865"/>
      <c r="S337" s="57"/>
      <c r="T337" s="57"/>
    </row>
    <row r="338" spans="2:20" s="1708" customFormat="1" x14ac:dyDescent="0.25">
      <c r="B338" s="1864"/>
      <c r="G338" s="1859"/>
      <c r="J338" s="1865"/>
      <c r="K338" s="1865"/>
      <c r="S338" s="57"/>
      <c r="T338" s="57"/>
    </row>
    <row r="339" spans="2:20" s="1708" customFormat="1" x14ac:dyDescent="0.25">
      <c r="B339" s="1864"/>
      <c r="G339" s="1859"/>
      <c r="J339" s="1865"/>
      <c r="K339" s="1865"/>
      <c r="S339" s="57"/>
      <c r="T339" s="57"/>
    </row>
    <row r="340" spans="2:20" s="1708" customFormat="1" x14ac:dyDescent="0.25">
      <c r="B340" s="1864"/>
      <c r="G340" s="1859"/>
      <c r="J340" s="1865"/>
      <c r="K340" s="1865"/>
      <c r="S340" s="57"/>
      <c r="T340" s="57"/>
    </row>
    <row r="341" spans="2:20" s="1708" customFormat="1" x14ac:dyDescent="0.25">
      <c r="B341" s="1864"/>
      <c r="G341" s="1859"/>
      <c r="J341" s="1865"/>
      <c r="K341" s="1865"/>
      <c r="S341" s="57"/>
      <c r="T341" s="57"/>
    </row>
    <row r="342" spans="2:20" s="1708" customFormat="1" x14ac:dyDescent="0.25">
      <c r="B342" s="1864"/>
      <c r="G342" s="1859"/>
      <c r="J342" s="1865"/>
      <c r="K342" s="1865"/>
      <c r="S342" s="57"/>
      <c r="T342" s="57"/>
    </row>
    <row r="343" spans="2:20" s="1708" customFormat="1" x14ac:dyDescent="0.25">
      <c r="B343" s="1864"/>
      <c r="G343" s="1859"/>
      <c r="J343" s="1865"/>
      <c r="K343" s="1865"/>
      <c r="S343" s="57"/>
      <c r="T343" s="57"/>
    </row>
    <row r="344" spans="2:20" s="1708" customFormat="1" x14ac:dyDescent="0.25">
      <c r="B344" s="1864"/>
      <c r="G344" s="1859"/>
      <c r="J344" s="1865"/>
      <c r="K344" s="1865"/>
      <c r="S344" s="57"/>
      <c r="T344" s="57"/>
    </row>
    <row r="345" spans="2:20" s="1708" customFormat="1" x14ac:dyDescent="0.25">
      <c r="B345" s="1864"/>
      <c r="G345" s="1859"/>
      <c r="J345" s="1865"/>
      <c r="K345" s="1865"/>
      <c r="S345" s="57"/>
      <c r="T345" s="57"/>
    </row>
    <row r="346" spans="2:20" s="1708" customFormat="1" x14ac:dyDescent="0.25">
      <c r="B346" s="1864"/>
      <c r="G346" s="1859"/>
      <c r="J346" s="1865"/>
      <c r="K346" s="1865"/>
      <c r="S346" s="57"/>
      <c r="T346" s="57"/>
    </row>
    <row r="347" spans="2:20" s="1708" customFormat="1" x14ac:dyDescent="0.25">
      <c r="B347" s="1864"/>
      <c r="G347" s="1859"/>
      <c r="J347" s="1865"/>
      <c r="K347" s="1865"/>
      <c r="S347" s="57"/>
      <c r="T347" s="57"/>
    </row>
    <row r="348" spans="2:20" s="1708" customFormat="1" x14ac:dyDescent="0.25">
      <c r="B348" s="1864"/>
      <c r="G348" s="1859"/>
      <c r="J348" s="1865"/>
      <c r="K348" s="1865"/>
      <c r="S348" s="57"/>
      <c r="T348" s="57"/>
    </row>
    <row r="349" spans="2:20" s="1708" customFormat="1" x14ac:dyDescent="0.25">
      <c r="B349" s="1864"/>
      <c r="G349" s="1859"/>
      <c r="J349" s="1865"/>
      <c r="K349" s="1865"/>
      <c r="S349" s="57"/>
      <c r="T349" s="57"/>
    </row>
    <row r="350" spans="2:20" s="1708" customFormat="1" x14ac:dyDescent="0.25">
      <c r="B350" s="1864"/>
      <c r="G350" s="1859"/>
      <c r="J350" s="1865"/>
      <c r="K350" s="1865"/>
      <c r="S350" s="57"/>
      <c r="T350" s="57"/>
    </row>
    <row r="351" spans="2:20" s="1708" customFormat="1" x14ac:dyDescent="0.25">
      <c r="B351" s="1864"/>
      <c r="G351" s="1859"/>
      <c r="J351" s="1865"/>
      <c r="K351" s="1865"/>
      <c r="S351" s="57"/>
      <c r="T351" s="57"/>
    </row>
    <row r="352" spans="2:20" s="1708" customFormat="1" x14ac:dyDescent="0.25">
      <c r="B352" s="1864"/>
      <c r="G352" s="1859"/>
      <c r="J352" s="1865"/>
      <c r="K352" s="1865"/>
      <c r="S352" s="57"/>
      <c r="T352" s="57"/>
    </row>
    <row r="353" spans="2:20" s="1708" customFormat="1" x14ac:dyDescent="0.25">
      <c r="B353" s="1864"/>
      <c r="G353" s="1859"/>
      <c r="J353" s="1865"/>
      <c r="K353" s="1865"/>
      <c r="S353" s="57"/>
      <c r="T353" s="57"/>
    </row>
    <row r="354" spans="2:20" s="1708" customFormat="1" x14ac:dyDescent="0.25">
      <c r="B354" s="1864"/>
      <c r="G354" s="1859"/>
      <c r="J354" s="1865"/>
      <c r="K354" s="1865"/>
      <c r="S354" s="57"/>
      <c r="T354" s="57"/>
    </row>
    <row r="355" spans="2:20" s="1708" customFormat="1" x14ac:dyDescent="0.25">
      <c r="B355" s="1864"/>
      <c r="G355" s="1859"/>
      <c r="J355" s="1865"/>
      <c r="K355" s="1865"/>
      <c r="S355" s="57"/>
      <c r="T355" s="57"/>
    </row>
    <row r="356" spans="2:20" s="1708" customFormat="1" x14ac:dyDescent="0.25">
      <c r="B356" s="1864"/>
      <c r="G356" s="1859"/>
      <c r="J356" s="1865"/>
      <c r="K356" s="1865"/>
      <c r="S356" s="57"/>
      <c r="T356" s="57"/>
    </row>
    <row r="357" spans="2:20" s="1708" customFormat="1" x14ac:dyDescent="0.25">
      <c r="B357" s="1864"/>
      <c r="G357" s="1859"/>
      <c r="J357" s="1865"/>
      <c r="K357" s="1865"/>
      <c r="S357" s="57"/>
      <c r="T357" s="57"/>
    </row>
    <row r="358" spans="2:20" s="1708" customFormat="1" x14ac:dyDescent="0.25">
      <c r="B358" s="1864"/>
      <c r="G358" s="1859"/>
      <c r="J358" s="1865"/>
      <c r="K358" s="1865"/>
      <c r="S358" s="57"/>
      <c r="T358" s="57"/>
    </row>
    <row r="359" spans="2:20" s="1708" customFormat="1" x14ac:dyDescent="0.25">
      <c r="B359" s="1864"/>
      <c r="G359" s="1859"/>
      <c r="J359" s="1865"/>
      <c r="K359" s="1865"/>
      <c r="S359" s="57"/>
      <c r="T359" s="57"/>
    </row>
    <row r="360" spans="2:20" s="1708" customFormat="1" x14ac:dyDescent="0.25">
      <c r="B360" s="1864"/>
      <c r="G360" s="1859"/>
      <c r="J360" s="1865"/>
      <c r="K360" s="1865"/>
      <c r="S360" s="57"/>
      <c r="T360" s="57"/>
    </row>
    <row r="361" spans="2:20" s="1708" customFormat="1" x14ac:dyDescent="0.25">
      <c r="B361" s="1864"/>
      <c r="G361" s="1859"/>
      <c r="J361" s="1865"/>
      <c r="K361" s="1865"/>
      <c r="S361" s="57"/>
      <c r="T361" s="57"/>
    </row>
    <row r="362" spans="2:20" s="1708" customFormat="1" x14ac:dyDescent="0.25">
      <c r="B362" s="1864"/>
      <c r="G362" s="1859"/>
      <c r="J362" s="1865"/>
      <c r="K362" s="1865"/>
      <c r="S362" s="57"/>
      <c r="T362" s="57"/>
    </row>
    <row r="363" spans="2:20" s="1708" customFormat="1" x14ac:dyDescent="0.25">
      <c r="B363" s="1864"/>
      <c r="G363" s="1859"/>
      <c r="J363" s="1865"/>
      <c r="K363" s="1865"/>
      <c r="S363" s="57"/>
      <c r="T363" s="57"/>
    </row>
    <row r="364" spans="2:20" s="1708" customFormat="1" x14ac:dyDescent="0.25">
      <c r="B364" s="1864"/>
      <c r="G364" s="1859"/>
      <c r="J364" s="1865"/>
      <c r="K364" s="1865"/>
      <c r="S364" s="57"/>
      <c r="T364" s="57"/>
    </row>
    <row r="365" spans="2:20" s="1708" customFormat="1" x14ac:dyDescent="0.25">
      <c r="B365" s="1864"/>
      <c r="G365" s="1859"/>
      <c r="J365" s="1865"/>
      <c r="K365" s="1865"/>
      <c r="S365" s="57"/>
      <c r="T365" s="57"/>
    </row>
    <row r="366" spans="2:20" s="1708" customFormat="1" x14ac:dyDescent="0.25">
      <c r="B366" s="1864"/>
      <c r="G366" s="1859"/>
      <c r="J366" s="1865"/>
      <c r="K366" s="1865"/>
      <c r="S366" s="57"/>
      <c r="T366" s="57"/>
    </row>
    <row r="367" spans="2:20" s="1708" customFormat="1" x14ac:dyDescent="0.25">
      <c r="B367" s="1864"/>
      <c r="G367" s="1859"/>
      <c r="J367" s="1865"/>
      <c r="K367" s="1865"/>
      <c r="S367" s="57"/>
      <c r="T367" s="57"/>
    </row>
    <row r="368" spans="2:20" s="1708" customFormat="1" x14ac:dyDescent="0.25">
      <c r="B368" s="1864"/>
      <c r="G368" s="1859"/>
      <c r="J368" s="1865"/>
      <c r="K368" s="1865"/>
      <c r="S368" s="57"/>
      <c r="T368" s="57"/>
    </row>
    <row r="369" spans="2:20" s="1708" customFormat="1" x14ac:dyDescent="0.25">
      <c r="B369" s="1864"/>
      <c r="G369" s="1859"/>
      <c r="J369" s="1865"/>
      <c r="K369" s="1865"/>
      <c r="S369" s="57"/>
      <c r="T369" s="57"/>
    </row>
    <row r="370" spans="2:20" s="1708" customFormat="1" x14ac:dyDescent="0.25">
      <c r="B370" s="1864"/>
      <c r="G370" s="1859"/>
      <c r="J370" s="1865"/>
      <c r="K370" s="1865"/>
      <c r="S370" s="57"/>
      <c r="T370" s="57"/>
    </row>
    <row r="371" spans="2:20" s="1708" customFormat="1" x14ac:dyDescent="0.25">
      <c r="B371" s="1864"/>
      <c r="G371" s="1859"/>
      <c r="J371" s="1865"/>
      <c r="K371" s="1865"/>
      <c r="S371" s="57"/>
      <c r="T371" s="57"/>
    </row>
    <row r="372" spans="2:20" s="1708" customFormat="1" x14ac:dyDescent="0.25">
      <c r="B372" s="1864"/>
      <c r="G372" s="1859"/>
      <c r="J372" s="1865"/>
      <c r="K372" s="1865"/>
      <c r="S372" s="57"/>
      <c r="T372" s="57"/>
    </row>
    <row r="373" spans="2:20" s="1708" customFormat="1" x14ac:dyDescent="0.25">
      <c r="B373" s="1864"/>
      <c r="G373" s="1859"/>
      <c r="J373" s="1865"/>
      <c r="K373" s="1865"/>
      <c r="S373" s="57"/>
      <c r="T373" s="57"/>
    </row>
    <row r="374" spans="2:20" s="1708" customFormat="1" x14ac:dyDescent="0.25">
      <c r="B374" s="1864"/>
      <c r="G374" s="1859"/>
      <c r="J374" s="1865"/>
      <c r="K374" s="1865"/>
      <c r="S374" s="57"/>
      <c r="T374" s="57"/>
    </row>
    <row r="375" spans="2:20" s="1708" customFormat="1" x14ac:dyDescent="0.25">
      <c r="B375" s="1864"/>
      <c r="G375" s="1859"/>
      <c r="J375" s="1865"/>
      <c r="K375" s="1865"/>
      <c r="S375" s="57"/>
      <c r="T375" s="57"/>
    </row>
    <row r="376" spans="2:20" s="1708" customFormat="1" x14ac:dyDescent="0.25">
      <c r="B376" s="1864"/>
      <c r="G376" s="1859"/>
      <c r="J376" s="1865"/>
      <c r="K376" s="1865"/>
      <c r="S376" s="57"/>
      <c r="T376" s="57"/>
    </row>
    <row r="377" spans="2:20" s="1708" customFormat="1" x14ac:dyDescent="0.25">
      <c r="B377" s="1864"/>
      <c r="G377" s="1859"/>
      <c r="J377" s="1865"/>
      <c r="K377" s="1865"/>
      <c r="S377" s="57"/>
      <c r="T377" s="57"/>
    </row>
    <row r="378" spans="2:20" s="1708" customFormat="1" x14ac:dyDescent="0.25">
      <c r="B378" s="1864"/>
      <c r="G378" s="1859"/>
      <c r="J378" s="1865"/>
      <c r="K378" s="1865"/>
      <c r="S378" s="57"/>
      <c r="T378" s="57"/>
    </row>
    <row r="379" spans="2:20" s="1708" customFormat="1" x14ac:dyDescent="0.25">
      <c r="B379" s="1864"/>
      <c r="G379" s="1859"/>
      <c r="J379" s="1865"/>
      <c r="K379" s="1865"/>
      <c r="S379" s="57"/>
      <c r="T379" s="57"/>
    </row>
    <row r="380" spans="2:20" s="1708" customFormat="1" x14ac:dyDescent="0.25">
      <c r="B380" s="1864"/>
      <c r="G380" s="1859"/>
      <c r="J380" s="1865"/>
      <c r="K380" s="1865"/>
      <c r="S380" s="57"/>
      <c r="T380" s="57"/>
    </row>
    <row r="381" spans="2:20" s="1708" customFormat="1" x14ac:dyDescent="0.25">
      <c r="B381" s="1864"/>
      <c r="G381" s="1859"/>
      <c r="J381" s="1865"/>
      <c r="K381" s="1865"/>
      <c r="S381" s="57"/>
      <c r="T381" s="57"/>
    </row>
    <row r="382" spans="2:20" s="1708" customFormat="1" x14ac:dyDescent="0.25">
      <c r="B382" s="1864"/>
      <c r="G382" s="1859"/>
      <c r="J382" s="1865"/>
      <c r="K382" s="1865"/>
      <c r="S382" s="57"/>
      <c r="T382" s="57"/>
    </row>
    <row r="383" spans="2:20" s="1708" customFormat="1" x14ac:dyDescent="0.25">
      <c r="B383" s="1864"/>
      <c r="G383" s="1859"/>
      <c r="J383" s="1865"/>
      <c r="K383" s="1865"/>
      <c r="S383" s="57"/>
      <c r="T383" s="57"/>
    </row>
    <row r="384" spans="2:20" s="1708" customFormat="1" x14ac:dyDescent="0.25">
      <c r="B384" s="1864"/>
      <c r="G384" s="1859"/>
      <c r="J384" s="1865"/>
      <c r="K384" s="1865"/>
      <c r="S384" s="57"/>
      <c r="T384" s="57"/>
    </row>
    <row r="385" spans="2:20" s="1708" customFormat="1" x14ac:dyDescent="0.25">
      <c r="B385" s="1864"/>
      <c r="G385" s="1859"/>
      <c r="J385" s="1865"/>
      <c r="K385" s="1865"/>
      <c r="S385" s="57"/>
      <c r="T385" s="57"/>
    </row>
    <row r="386" spans="2:20" s="1708" customFormat="1" x14ac:dyDescent="0.25">
      <c r="B386" s="1864"/>
      <c r="G386" s="1859"/>
      <c r="J386" s="1865"/>
      <c r="K386" s="1865"/>
      <c r="S386" s="57"/>
      <c r="T386" s="57"/>
    </row>
    <row r="387" spans="2:20" s="1708" customFormat="1" x14ac:dyDescent="0.25">
      <c r="B387" s="1864"/>
      <c r="G387" s="1859"/>
      <c r="J387" s="1865"/>
      <c r="K387" s="1865"/>
      <c r="S387" s="57"/>
      <c r="T387" s="57"/>
    </row>
    <row r="388" spans="2:20" s="1708" customFormat="1" x14ac:dyDescent="0.25">
      <c r="B388" s="1864"/>
      <c r="G388" s="1859"/>
      <c r="J388" s="1865"/>
      <c r="K388" s="1865"/>
      <c r="S388" s="57"/>
      <c r="T388" s="57"/>
    </row>
    <row r="389" spans="2:20" s="1708" customFormat="1" x14ac:dyDescent="0.25">
      <c r="B389" s="1864"/>
      <c r="G389" s="1859"/>
      <c r="J389" s="1865"/>
      <c r="K389" s="1865"/>
      <c r="S389" s="57"/>
      <c r="T389" s="57"/>
    </row>
    <row r="390" spans="2:20" s="1708" customFormat="1" x14ac:dyDescent="0.25">
      <c r="B390" s="1864"/>
      <c r="G390" s="1859"/>
      <c r="J390" s="1865"/>
      <c r="K390" s="1865"/>
      <c r="S390" s="57"/>
      <c r="T390" s="57"/>
    </row>
    <row r="391" spans="2:20" s="1708" customFormat="1" x14ac:dyDescent="0.25">
      <c r="B391" s="1864"/>
      <c r="G391" s="1859"/>
      <c r="J391" s="1865"/>
      <c r="K391" s="1865"/>
      <c r="S391" s="57"/>
      <c r="T391" s="57"/>
    </row>
    <row r="392" spans="2:20" s="1708" customFormat="1" x14ac:dyDescent="0.25">
      <c r="B392" s="1864"/>
      <c r="G392" s="1859"/>
      <c r="J392" s="1865"/>
      <c r="K392" s="1865"/>
      <c r="S392" s="57"/>
      <c r="T392" s="57"/>
    </row>
    <row r="393" spans="2:20" s="1708" customFormat="1" x14ac:dyDescent="0.25">
      <c r="B393" s="1864"/>
      <c r="G393" s="1859"/>
      <c r="J393" s="1865"/>
      <c r="K393" s="1865"/>
      <c r="S393" s="57"/>
      <c r="T393" s="57"/>
    </row>
    <row r="394" spans="2:20" s="1708" customFormat="1" x14ac:dyDescent="0.25">
      <c r="B394" s="1864"/>
      <c r="G394" s="1859"/>
      <c r="J394" s="1865"/>
      <c r="K394" s="1865"/>
      <c r="S394" s="57"/>
      <c r="T394" s="57"/>
    </row>
    <row r="395" spans="2:20" s="1708" customFormat="1" x14ac:dyDescent="0.25">
      <c r="B395" s="1864"/>
      <c r="G395" s="1859"/>
      <c r="J395" s="1865"/>
      <c r="K395" s="1865"/>
      <c r="S395" s="57"/>
      <c r="T395" s="57"/>
    </row>
    <row r="396" spans="2:20" s="1708" customFormat="1" x14ac:dyDescent="0.25">
      <c r="B396" s="1864"/>
      <c r="G396" s="1859"/>
      <c r="J396" s="1865"/>
      <c r="K396" s="1865"/>
      <c r="S396" s="57"/>
      <c r="T396" s="57"/>
    </row>
    <row r="397" spans="2:20" s="1708" customFormat="1" x14ac:dyDescent="0.25">
      <c r="B397" s="1864"/>
      <c r="G397" s="1859"/>
      <c r="J397" s="1865"/>
      <c r="K397" s="1865"/>
      <c r="S397" s="57"/>
      <c r="T397" s="57"/>
    </row>
    <row r="398" spans="2:20" s="1708" customFormat="1" x14ac:dyDescent="0.25">
      <c r="B398" s="1864"/>
      <c r="G398" s="1859"/>
      <c r="J398" s="1865"/>
      <c r="K398" s="1865"/>
      <c r="S398" s="57"/>
      <c r="T398" s="57"/>
    </row>
    <row r="399" spans="2:20" s="1708" customFormat="1" x14ac:dyDescent="0.25">
      <c r="B399" s="1864"/>
      <c r="G399" s="1859"/>
      <c r="J399" s="1865"/>
      <c r="K399" s="1865"/>
      <c r="S399" s="57"/>
      <c r="T399" s="57"/>
    </row>
    <row r="400" spans="2:20" s="1708" customFormat="1" x14ac:dyDescent="0.25">
      <c r="B400" s="1864"/>
      <c r="G400" s="1859"/>
      <c r="J400" s="1865"/>
      <c r="K400" s="1865"/>
      <c r="S400" s="57"/>
      <c r="T400" s="57"/>
    </row>
    <row r="401" spans="2:20" s="1708" customFormat="1" x14ac:dyDescent="0.25">
      <c r="B401" s="1864"/>
      <c r="G401" s="1859"/>
      <c r="J401" s="1865"/>
      <c r="K401" s="1865"/>
      <c r="S401" s="57"/>
      <c r="T401" s="57"/>
    </row>
    <row r="402" spans="2:20" s="1708" customFormat="1" x14ac:dyDescent="0.25">
      <c r="B402" s="1864"/>
      <c r="G402" s="1859"/>
      <c r="J402" s="1865"/>
      <c r="K402" s="1865"/>
      <c r="S402" s="57"/>
      <c r="T402" s="57"/>
    </row>
    <row r="403" spans="2:20" s="1708" customFormat="1" x14ac:dyDescent="0.25">
      <c r="B403" s="1864"/>
      <c r="G403" s="1859"/>
      <c r="J403" s="1865"/>
      <c r="K403" s="1865"/>
      <c r="S403" s="57"/>
      <c r="T403" s="57"/>
    </row>
    <row r="404" spans="2:20" s="1708" customFormat="1" x14ac:dyDescent="0.25">
      <c r="B404" s="1864"/>
      <c r="G404" s="1859"/>
      <c r="J404" s="1865"/>
      <c r="K404" s="1865"/>
      <c r="S404" s="57"/>
      <c r="T404" s="57"/>
    </row>
    <row r="405" spans="2:20" s="1708" customFormat="1" x14ac:dyDescent="0.25">
      <c r="B405" s="1864"/>
      <c r="G405" s="1859"/>
      <c r="J405" s="1865"/>
      <c r="K405" s="1865"/>
      <c r="S405" s="57"/>
      <c r="T405" s="57"/>
    </row>
    <row r="406" spans="2:20" s="1708" customFormat="1" x14ac:dyDescent="0.25">
      <c r="B406" s="1864"/>
      <c r="G406" s="1859"/>
      <c r="J406" s="1865"/>
      <c r="K406" s="1865"/>
      <c r="S406" s="57"/>
      <c r="T406" s="57"/>
    </row>
    <row r="407" spans="2:20" s="1708" customFormat="1" x14ac:dyDescent="0.25">
      <c r="B407" s="1864"/>
      <c r="G407" s="1859"/>
      <c r="J407" s="1865"/>
      <c r="K407" s="1865"/>
      <c r="S407" s="57"/>
      <c r="T407" s="57"/>
    </row>
  </sheetData>
  <sheetProtection password="E593" sheet="1" objects="1" scenarios="1"/>
  <customSheetViews>
    <customSheetView guid="{B63065A1-7838-417A-8679-08A8A2B79CD8}" scale="85" showPageBreaks="1" showGridLines="0" printArea="1">
      <selection activeCell="I3" sqref="I3"/>
      <rowBreaks count="1" manualBreakCount="1">
        <brk id="47" max="16383" man="1"/>
      </rowBreaks>
      <pageMargins left="0" right="0" top="0" bottom="0" header="0" footer="0"/>
      <printOptions horizontalCentered="1"/>
      <pageSetup scale="71" orientation="landscape" blackAndWhite="1" r:id="rId1"/>
      <headerFooter alignWithMargins="0"/>
    </customSheetView>
  </customSheetViews>
  <mergeCells count="12">
    <mergeCell ref="D3:G3"/>
    <mergeCell ref="D5:G5"/>
    <mergeCell ref="D6:G6"/>
    <mergeCell ref="D53:G53"/>
    <mergeCell ref="D55:G55"/>
    <mergeCell ref="C7:K7"/>
    <mergeCell ref="C8:K8"/>
    <mergeCell ref="C9:K9"/>
    <mergeCell ref="B94:L95"/>
    <mergeCell ref="C96:K107"/>
    <mergeCell ref="D56:G56"/>
    <mergeCell ref="D57:G57"/>
  </mergeCells>
  <conditionalFormatting sqref="G15:G18 G22:G26 G30:G33 G37:G44 G62:G66 G72:G82 G70">
    <cfRule type="expression" dxfId="16" priority="1" stopIfTrue="1">
      <formula>$G$12="Estimated"</formula>
    </cfRule>
  </conditionalFormatting>
  <hyperlinks>
    <hyperlink ref="J15:K15" location="Attach19!A1" tooltip="Click to Open Notes" display="Attach19!A1"/>
    <hyperlink ref="J16:K18" location="Attach19!A1" tooltip="Click to open Notes" display="Attach19!A1"/>
    <hyperlink ref="J22:K26" location="Attach19!A1" tooltip="Click to open Notes" display="Attach19!A1"/>
    <hyperlink ref="J30:K33" location="Attach19!A1" tooltip="Click to open Notes" display="Attach19!A1"/>
    <hyperlink ref="J37:K44" location="Attach19!A1" tooltip="Click to open Notes" display="Attach19!A1"/>
    <hyperlink ref="J62:K66" location="Attach19!A1" tooltip="Click to open Notes" display="Attach19!A1"/>
    <hyperlink ref="J70:K70" location="Attach19!A1" tooltip="Click to open Notes" display="Attach19!A1"/>
    <hyperlink ref="J72:K82" location="Attach19!A1" tooltip="Click to open Notes" display="Attach19!A1"/>
  </hyperlinks>
  <printOptions horizontalCentered="1"/>
  <pageMargins left="0" right="0" top="0" bottom="0" header="0" footer="0"/>
  <pageSetup scale="71" orientation="landscape" blackAndWhite="1" r:id="rId2"/>
  <headerFooter alignWithMargins="0"/>
  <rowBreaks count="1" manualBreakCount="1">
    <brk id="50" max="16383" man="1"/>
  </rowBreaks>
  <drawing r:id="rId3"/>
  <legacyDrawing r:id="rId4"/>
  <controls>
    <mc:AlternateContent xmlns:mc="http://schemas.openxmlformats.org/markup-compatibility/2006">
      <mc:Choice Requires="x14">
        <control shapeId="15368" r:id="rId5" name="Label2">
          <controlPr defaultSize="0" print="0" autoLine="0" r:id="rId6">
            <anchor moveWithCells="1">
              <from>
                <xdr:col>12</xdr:col>
                <xdr:colOff>167640</xdr:colOff>
                <xdr:row>53</xdr:row>
                <xdr:rowOff>0</xdr:rowOff>
              </from>
              <to>
                <xdr:col>17</xdr:col>
                <xdr:colOff>487680</xdr:colOff>
                <xdr:row>57</xdr:row>
                <xdr:rowOff>121920</xdr:rowOff>
              </to>
            </anchor>
          </controlPr>
        </control>
      </mc:Choice>
      <mc:Fallback>
        <control shapeId="15368" r:id="rId5" name="Label2"/>
      </mc:Fallback>
    </mc:AlternateContent>
    <mc:AlternateContent xmlns:mc="http://schemas.openxmlformats.org/markup-compatibility/2006">
      <mc:Choice Requires="x14">
        <control shapeId="15367" r:id="rId7" name="Label1">
          <controlPr defaultSize="0" print="0" autoLine="0" r:id="rId8">
            <anchor moveWithCells="1">
              <from>
                <xdr:col>12</xdr:col>
                <xdr:colOff>350520</xdr:colOff>
                <xdr:row>3</xdr:row>
                <xdr:rowOff>76200</xdr:rowOff>
              </from>
              <to>
                <xdr:col>17</xdr:col>
                <xdr:colOff>670560</xdr:colOff>
                <xdr:row>8</xdr:row>
                <xdr:rowOff>22860</xdr:rowOff>
              </to>
            </anchor>
          </controlPr>
        </control>
      </mc:Choice>
      <mc:Fallback>
        <control shapeId="15367" r:id="rId7" name="Label1"/>
      </mc:Fallback>
    </mc:AlternateContent>
    <mc:AlternateContent xmlns:mc="http://schemas.openxmlformats.org/markup-compatibility/2006">
      <mc:Choice Requires="x14">
        <control shapeId="15361" r:id="rId9" name="cmdTop1">
          <controlPr defaultSize="0" print="0" autoLine="0" r:id="rId10">
            <anchor moveWithCells="1">
              <from>
                <xdr:col>2</xdr:col>
                <xdr:colOff>1752600</xdr:colOff>
                <xdr:row>51</xdr:row>
                <xdr:rowOff>137160</xdr:rowOff>
              </from>
              <to>
                <xdr:col>2</xdr:col>
                <xdr:colOff>2560320</xdr:colOff>
                <xdr:row>55</xdr:row>
                <xdr:rowOff>91440</xdr:rowOff>
              </to>
            </anchor>
          </controlPr>
        </control>
      </mc:Choice>
      <mc:Fallback>
        <control shapeId="15361" r:id="rId9" name="cmdTop1"/>
      </mc:Fallback>
    </mc:AlternateContent>
    <mc:AlternateContent xmlns:mc="http://schemas.openxmlformats.org/markup-compatibility/2006">
      <mc:Choice Requires="x14">
        <control shapeId="15363" r:id="rId11" name="Button 3">
          <controlPr defaultSize="0" print="0" autoFill="0" autoPict="0" macro="[0]!BackMain">
            <anchor moveWithCells="1" sizeWithCells="1">
              <from>
                <xdr:col>2</xdr:col>
                <xdr:colOff>411480</xdr:colOff>
                <xdr:row>52</xdr:row>
                <xdr:rowOff>38100</xdr:rowOff>
              </from>
              <to>
                <xdr:col>2</xdr:col>
                <xdr:colOff>1257300</xdr:colOff>
                <xdr:row>55</xdr:row>
                <xdr:rowOff>76200</xdr:rowOff>
              </to>
            </anchor>
          </controlPr>
        </control>
      </mc:Choice>
    </mc:AlternateContent>
    <mc:AlternateContent xmlns:mc="http://schemas.openxmlformats.org/markup-compatibility/2006">
      <mc:Choice Requires="x14">
        <control shapeId="15364" r:id="rId12" name="Button 4">
          <controlPr defaultSize="0" print="0" autoFill="0" autoPict="0" macro="[0]!BackMain">
            <anchor moveWithCells="1" sizeWithCells="1">
              <from>
                <xdr:col>1</xdr:col>
                <xdr:colOff>22860</xdr:colOff>
                <xdr:row>2</xdr:row>
                <xdr:rowOff>144780</xdr:rowOff>
              </from>
              <to>
                <xdr:col>2</xdr:col>
                <xdr:colOff>198120</xdr:colOff>
                <xdr:row>5</xdr:row>
                <xdr:rowOff>60960</xdr:rowOff>
              </to>
            </anchor>
          </controlPr>
        </control>
      </mc:Choice>
    </mc:AlternateContent>
    <mc:AlternateContent xmlns:mc="http://schemas.openxmlformats.org/markup-compatibility/2006">
      <mc:Choice Requires="x14">
        <control shapeId="15369" r:id="rId13" name="Button 9">
          <controlPr defaultSize="0" print="0" autoFill="0" autoPict="0" macro="[0]!PrintAttach10">
            <anchor moveWithCells="1" sizeWithCells="1">
              <from>
                <xdr:col>9</xdr:col>
                <xdr:colOff>845820</xdr:colOff>
                <xdr:row>3</xdr:row>
                <xdr:rowOff>121920</xdr:rowOff>
              </from>
              <to>
                <xdr:col>12</xdr:col>
                <xdr:colOff>7620</xdr:colOff>
                <xdr:row>5</xdr:row>
                <xdr:rowOff>114300</xdr:rowOff>
              </to>
            </anchor>
          </controlPr>
        </control>
      </mc:Choice>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92D050"/>
  </sheetPr>
  <dimension ref="A1:T267"/>
  <sheetViews>
    <sheetView showGridLines="0" zoomScaleNormal="100" workbookViewId="0">
      <selection activeCell="C51" sqref="C51:K62"/>
    </sheetView>
  </sheetViews>
  <sheetFormatPr defaultColWidth="10.33203125" defaultRowHeight="13.2" x14ac:dyDescent="0.25"/>
  <cols>
    <col min="1" max="1" width="10.33203125" style="28"/>
    <col min="2" max="2" width="10.33203125" style="52" customWidth="1"/>
    <col min="3" max="3" width="45" style="28" customWidth="1"/>
    <col min="4" max="6" width="15.6640625" style="28" customWidth="1"/>
    <col min="7" max="7" width="15.6640625" style="27" customWidth="1"/>
    <col min="8" max="9" width="15.6640625" style="28" customWidth="1"/>
    <col min="10" max="10" width="12.88671875" style="54" customWidth="1"/>
    <col min="11" max="11" width="12.109375" style="54" customWidth="1"/>
    <col min="12" max="18" width="10.33203125" style="28"/>
    <col min="19" max="20" width="10.33203125" style="57"/>
    <col min="21" max="21" width="10.33203125" style="28" customWidth="1"/>
    <col min="22" max="22" width="45" style="28" customWidth="1"/>
    <col min="23" max="28" width="15.6640625" style="28" customWidth="1"/>
    <col min="29" max="29" width="12.88671875" style="28" customWidth="1"/>
    <col min="30" max="30" width="12.109375" style="28" customWidth="1"/>
    <col min="31" max="16384" width="10.33203125" style="28"/>
  </cols>
  <sheetData>
    <row r="1" spans="1:18" x14ac:dyDescent="0.25">
      <c r="A1" s="78"/>
      <c r="B1" s="698" t="str">
        <f>Data!H3 &amp; " Test Year"</f>
        <v>2023 Test Year</v>
      </c>
      <c r="C1" s="609"/>
      <c r="D1" s="609"/>
      <c r="E1" s="609"/>
      <c r="F1" s="609"/>
      <c r="G1" s="609"/>
      <c r="H1" s="469"/>
      <c r="I1" s="469"/>
      <c r="J1" s="469"/>
      <c r="K1" s="553"/>
      <c r="L1" s="470" t="s">
        <v>439</v>
      </c>
      <c r="M1" s="78"/>
      <c r="N1" s="78"/>
      <c r="O1" s="78"/>
      <c r="P1" s="78"/>
      <c r="Q1" s="78"/>
      <c r="R1" s="78"/>
    </row>
    <row r="2" spans="1:18" x14ac:dyDescent="0.25">
      <c r="A2" s="78"/>
      <c r="B2" s="610"/>
      <c r="C2" s="609"/>
      <c r="D2" s="2517" t="str">
        <f>Utility</f>
        <v>Cleveland Water Utility</v>
      </c>
      <c r="E2" s="2518"/>
      <c r="F2" s="2518"/>
      <c r="G2" s="2518"/>
      <c r="H2" s="469"/>
      <c r="I2" s="470"/>
      <c r="J2" s="561"/>
      <c r="K2" s="470"/>
      <c r="L2" s="78"/>
      <c r="M2" s="78"/>
      <c r="N2" s="78"/>
      <c r="O2" s="78"/>
      <c r="P2" s="78"/>
      <c r="Q2" s="78"/>
      <c r="R2" s="78"/>
    </row>
    <row r="3" spans="1:18" x14ac:dyDescent="0.25">
      <c r="A3" s="78"/>
      <c r="B3" s="611"/>
      <c r="C3" s="611"/>
      <c r="D3" s="609"/>
      <c r="E3" s="609"/>
      <c r="F3" s="609"/>
      <c r="G3" s="609"/>
      <c r="H3" s="471"/>
      <c r="I3" s="471"/>
      <c r="J3" s="562"/>
      <c r="K3" s="562"/>
      <c r="L3" s="78"/>
      <c r="M3" s="78"/>
      <c r="N3" s="78"/>
      <c r="O3" s="78"/>
      <c r="P3" s="78"/>
      <c r="Q3" s="78"/>
      <c r="R3" s="78"/>
    </row>
    <row r="4" spans="1:18" x14ac:dyDescent="0.25">
      <c r="A4" s="78"/>
      <c r="B4" s="611"/>
      <c r="C4" s="609"/>
      <c r="D4" s="2519" t="s">
        <v>441</v>
      </c>
      <c r="E4" s="2518"/>
      <c r="F4" s="2518"/>
      <c r="G4" s="2518"/>
      <c r="H4" s="469"/>
      <c r="I4" s="469"/>
      <c r="J4" s="561"/>
      <c r="K4" s="561"/>
      <c r="L4" s="78"/>
      <c r="M4" s="78"/>
      <c r="N4" s="78"/>
      <c r="O4" s="78"/>
      <c r="P4" s="78"/>
      <c r="Q4" s="78"/>
      <c r="R4" s="78"/>
    </row>
    <row r="5" spans="1:18" ht="13.8" thickBot="1" x14ac:dyDescent="0.3">
      <c r="A5" s="78"/>
      <c r="B5" s="612"/>
      <c r="C5" s="609" t="s">
        <v>442</v>
      </c>
      <c r="D5" s="2520" t="str">
        <f>CONCATENATE("Estimated for Test Year ",TestYear)</f>
        <v>Estimated for Test Year 2023</v>
      </c>
      <c r="E5" s="2521"/>
      <c r="F5" s="2521"/>
      <c r="G5" s="2521"/>
      <c r="H5" s="564"/>
      <c r="I5" s="564"/>
      <c r="J5" s="563"/>
      <c r="K5" s="563"/>
      <c r="L5" s="78"/>
      <c r="M5" s="78"/>
      <c r="N5" s="78"/>
      <c r="O5" s="78"/>
      <c r="P5" s="78"/>
      <c r="Q5" s="78"/>
      <c r="R5" s="78"/>
    </row>
    <row r="6" spans="1:18" ht="14.7" customHeight="1" thickTop="1" x14ac:dyDescent="0.25">
      <c r="A6" s="78"/>
      <c r="B6" s="581"/>
      <c r="C6" s="2532" t="s">
        <v>1326</v>
      </c>
      <c r="D6" s="2532"/>
      <c r="E6" s="2532"/>
      <c r="F6" s="2532"/>
      <c r="G6" s="2532"/>
      <c r="H6" s="2532"/>
      <c r="I6" s="2532"/>
      <c r="J6" s="2532"/>
      <c r="K6" s="2532"/>
      <c r="L6" s="226"/>
      <c r="M6" s="78"/>
      <c r="N6" s="78"/>
      <c r="O6" s="78"/>
      <c r="P6" s="78"/>
      <c r="Q6" s="78"/>
      <c r="R6" s="78"/>
    </row>
    <row r="7" spans="1:18" x14ac:dyDescent="0.25">
      <c r="A7" s="78"/>
      <c r="B7" s="595"/>
      <c r="C7" s="2523" t="s">
        <v>1293</v>
      </c>
      <c r="D7" s="2523"/>
      <c r="E7" s="2523"/>
      <c r="F7" s="2523"/>
      <c r="G7" s="2523"/>
      <c r="H7" s="2523"/>
      <c r="I7" s="2523"/>
      <c r="J7" s="2523"/>
      <c r="K7" s="2523"/>
      <c r="L7" s="228"/>
      <c r="M7" s="78"/>
      <c r="N7" s="78"/>
      <c r="O7" s="78"/>
      <c r="P7" s="78"/>
      <c r="Q7" s="78"/>
      <c r="R7" s="78"/>
    </row>
    <row r="8" spans="1:18" x14ac:dyDescent="0.25">
      <c r="A8" s="78"/>
      <c r="B8" s="595"/>
      <c r="C8" s="2523" t="s">
        <v>1327</v>
      </c>
      <c r="D8" s="2523"/>
      <c r="E8" s="2523"/>
      <c r="F8" s="2523"/>
      <c r="G8" s="2523"/>
      <c r="H8" s="2523"/>
      <c r="I8" s="2523"/>
      <c r="J8" s="2523"/>
      <c r="K8" s="2523"/>
      <c r="L8" s="228"/>
      <c r="M8" s="78"/>
      <c r="N8" s="78"/>
      <c r="O8" s="78"/>
      <c r="P8" s="78"/>
      <c r="Q8" s="78"/>
      <c r="R8" s="78"/>
    </row>
    <row r="9" spans="1:18" x14ac:dyDescent="0.25">
      <c r="A9" s="78"/>
      <c r="B9" s="595"/>
      <c r="C9" s="2227"/>
      <c r="D9" s="2227"/>
      <c r="E9" s="2227"/>
      <c r="F9" s="2227"/>
      <c r="G9" s="2227"/>
      <c r="H9" s="2227"/>
      <c r="I9" s="2227"/>
      <c r="J9" s="2227"/>
      <c r="K9" s="2227"/>
      <c r="L9" s="228"/>
      <c r="M9" s="78"/>
      <c r="N9" s="78"/>
      <c r="O9" s="78"/>
      <c r="P9" s="78"/>
      <c r="Q9" s="78"/>
      <c r="R9" s="78"/>
    </row>
    <row r="10" spans="1:18" x14ac:dyDescent="0.25">
      <c r="A10" s="78"/>
      <c r="B10" s="665"/>
      <c r="C10" s="584"/>
      <c r="D10" s="2230"/>
      <c r="E10" s="586"/>
      <c r="F10" s="586"/>
      <c r="G10" s="2229"/>
      <c r="H10" s="2229"/>
      <c r="I10" s="663" t="str">
        <f>IF(Data!H5="Actual",CONCATENATE(D12,", ",E12,", ",F12,", ",G12),CONCATENATE(D12,", ",E12,", ",F12))</f>
        <v>2019, 2020, 2021</v>
      </c>
      <c r="J10" s="589"/>
      <c r="K10" s="2231"/>
      <c r="L10" s="228"/>
      <c r="M10" s="78"/>
      <c r="N10" s="78"/>
      <c r="O10" s="78"/>
      <c r="P10" s="78"/>
      <c r="Q10" s="78"/>
      <c r="R10" s="78"/>
    </row>
    <row r="11" spans="1:18" x14ac:dyDescent="0.25">
      <c r="A11" s="78"/>
      <c r="B11" s="665" t="s">
        <v>443</v>
      </c>
      <c r="C11" s="584"/>
      <c r="D11" s="2230"/>
      <c r="E11" s="586"/>
      <c r="F11" s="586"/>
      <c r="G11" s="2228" t="str">
        <f>Data!H5</f>
        <v>Estimated</v>
      </c>
      <c r="H11" s="2228" t="s">
        <v>313</v>
      </c>
      <c r="I11" s="663" t="str">
        <f>IF(Data!H5="Actual","4 Year","3 Year")</f>
        <v>3 Year</v>
      </c>
      <c r="J11" s="593" t="str">
        <f>G11</f>
        <v>Estimated</v>
      </c>
      <c r="K11" s="593" t="s">
        <v>313</v>
      </c>
      <c r="L11" s="228"/>
      <c r="M11" s="78"/>
      <c r="N11" s="78"/>
      <c r="O11" s="78"/>
      <c r="P11" s="78"/>
      <c r="Q11" s="78"/>
      <c r="R11" s="78"/>
    </row>
    <row r="12" spans="1:18" x14ac:dyDescent="0.25">
      <c r="A12" s="78"/>
      <c r="B12" s="594" t="s">
        <v>444</v>
      </c>
      <c r="C12" s="577" t="s">
        <v>315</v>
      </c>
      <c r="D12" s="578">
        <f>TestYear-4</f>
        <v>2019</v>
      </c>
      <c r="E12" s="578">
        <f>TestYear-3</f>
        <v>2020</v>
      </c>
      <c r="F12" s="578">
        <f>TestYear-2</f>
        <v>2021</v>
      </c>
      <c r="G12" s="578">
        <f>TestYear-1</f>
        <v>2022</v>
      </c>
      <c r="H12" s="579">
        <f>TestYear</f>
        <v>2023</v>
      </c>
      <c r="I12" s="578" t="s">
        <v>175</v>
      </c>
      <c r="J12" s="572">
        <f>TestYear-1</f>
        <v>2022</v>
      </c>
      <c r="K12" s="572">
        <f>TestYear</f>
        <v>2023</v>
      </c>
      <c r="L12" s="228"/>
      <c r="M12" s="78"/>
      <c r="N12" s="78"/>
      <c r="O12" s="78"/>
      <c r="P12" s="78"/>
      <c r="Q12" s="78"/>
      <c r="R12" s="78"/>
    </row>
    <row r="13" spans="1:18" x14ac:dyDescent="0.25">
      <c r="A13" s="78"/>
      <c r="B13" s="595" t="s">
        <v>445</v>
      </c>
      <c r="C13" s="568"/>
      <c r="D13" s="642" t="s">
        <v>446</v>
      </c>
      <c r="E13" s="687"/>
      <c r="F13" s="687"/>
      <c r="G13" s="477"/>
      <c r="H13" s="477"/>
      <c r="I13" s="569" t="s">
        <v>446</v>
      </c>
      <c r="J13" s="589" t="s">
        <v>447</v>
      </c>
      <c r="K13" s="598"/>
      <c r="L13" s="228"/>
      <c r="M13" s="78"/>
      <c r="N13" s="78"/>
      <c r="O13" s="78"/>
      <c r="P13" s="78"/>
      <c r="Q13" s="78"/>
      <c r="R13" s="78"/>
    </row>
    <row r="14" spans="1:18" ht="13.8" x14ac:dyDescent="0.25">
      <c r="A14" s="78"/>
      <c r="B14" s="599">
        <v>600</v>
      </c>
      <c r="C14" s="580" t="s">
        <v>787</v>
      </c>
      <c r="D14" s="550">
        <f>Data!B21</f>
        <v>40860</v>
      </c>
      <c r="E14" s="550">
        <f>Data!C21</f>
        <v>40546</v>
      </c>
      <c r="F14" s="613">
        <f>Data!D21</f>
        <v>41728</v>
      </c>
      <c r="G14" s="544">
        <v>43000</v>
      </c>
      <c r="H14" s="674">
        <v>47200</v>
      </c>
      <c r="I14" s="613">
        <f>IF(Data!$H$5="Actual", SUM(D14+E14+F14+G14)/4, SUM(D14+E14+F14)/3)</f>
        <v>41044.666666666664</v>
      </c>
      <c r="J14" s="628" t="str">
        <f>IF(I14&lt;&gt;0,IF((G14-I14)/I14&gt;0.15,"Explain",IF((G14-I14)/I14&lt;-0.15,"Explain","")),"")</f>
        <v/>
      </c>
      <c r="K14" s="628" t="str">
        <f t="shared" ref="K14:K20" si="0">IF(I14&lt;&gt;0,IF((H14-I14)/I14&gt;0.15,"Explain",IF((H14-I14)/I14&lt; -0.15,"Explain","")),"")</f>
        <v/>
      </c>
      <c r="L14" s="228"/>
      <c r="M14" s="78"/>
      <c r="N14" s="78"/>
      <c r="O14" s="78"/>
      <c r="P14" s="78"/>
      <c r="Q14" s="78"/>
      <c r="R14" s="78"/>
    </row>
    <row r="15" spans="1:18" ht="13.8" x14ac:dyDescent="0.25">
      <c r="A15" s="78"/>
      <c r="B15" s="599">
        <v>610</v>
      </c>
      <c r="C15" s="580" t="s">
        <v>449</v>
      </c>
      <c r="D15" s="487">
        <f>Data!B22</f>
        <v>0</v>
      </c>
      <c r="E15" s="487">
        <f>Data!C22</f>
        <v>0</v>
      </c>
      <c r="F15" s="616">
        <f>Data!D22</f>
        <v>0</v>
      </c>
      <c r="G15" s="491">
        <f>Data!E22</f>
        <v>0</v>
      </c>
      <c r="H15" s="485">
        <v>0</v>
      </c>
      <c r="I15" s="616">
        <f>IF(Data!$H$5="Actual", SUM(D15+E15+F15+G15)/4, SUM(D15+E15+F15)/3)</f>
        <v>0</v>
      </c>
      <c r="J15" s="628" t="str">
        <f t="shared" ref="J15:J20" si="1">IF(I15&lt;&gt;0,IF((G15-I15)/I15&gt;0.15,"Explain",IF((G15-I15)/I15&lt; -0.15,"Explain","")),"")</f>
        <v/>
      </c>
      <c r="K15" s="628" t="str">
        <f t="shared" si="0"/>
        <v/>
      </c>
      <c r="L15" s="228"/>
      <c r="M15" s="78"/>
      <c r="N15" s="78"/>
      <c r="O15" s="78"/>
      <c r="P15" s="78"/>
      <c r="Q15" s="78"/>
      <c r="R15" s="78"/>
    </row>
    <row r="16" spans="1:18" ht="13.8" x14ac:dyDescent="0.25">
      <c r="A16" s="78"/>
      <c r="B16" s="599">
        <v>620</v>
      </c>
      <c r="C16" s="580" t="s">
        <v>454</v>
      </c>
      <c r="D16" s="487">
        <f>Data!B23</f>
        <v>7619</v>
      </c>
      <c r="E16" s="487">
        <f>Data!C23</f>
        <v>8136</v>
      </c>
      <c r="F16" s="616">
        <f>Data!D23</f>
        <v>10051</v>
      </c>
      <c r="G16" s="491">
        <v>8600</v>
      </c>
      <c r="H16" s="485">
        <v>9100</v>
      </c>
      <c r="I16" s="616">
        <f>IF(Data!$H$5="Actual", SUM(D16+E16+F16+G16)/4, SUM(D16+E16+F16)/3)</f>
        <v>8602</v>
      </c>
      <c r="J16" s="628" t="str">
        <f t="shared" si="1"/>
        <v/>
      </c>
      <c r="K16" s="628" t="str">
        <f t="shared" si="0"/>
        <v/>
      </c>
      <c r="L16" s="228"/>
      <c r="M16" s="78"/>
      <c r="N16" s="57"/>
      <c r="O16" s="57"/>
      <c r="P16" s="57"/>
      <c r="Q16" s="57"/>
      <c r="R16" s="57"/>
    </row>
    <row r="17" spans="1:18" ht="13.8" x14ac:dyDescent="0.25">
      <c r="A17" s="78"/>
      <c r="B17" s="599">
        <v>630</v>
      </c>
      <c r="C17" s="580" t="s">
        <v>457</v>
      </c>
      <c r="D17" s="487">
        <f>Data!B24</f>
        <v>3988</v>
      </c>
      <c r="E17" s="487">
        <f>Data!C24</f>
        <v>4856</v>
      </c>
      <c r="F17" s="616">
        <f>Data!D24</f>
        <v>6254</v>
      </c>
      <c r="G17" s="491">
        <v>5200</v>
      </c>
      <c r="H17" s="485">
        <v>5400</v>
      </c>
      <c r="I17" s="616">
        <f>IF(Data!$H$5="Actual", SUM(D17+E17+F17+G17)/4, SUM(D17+E17+F17)/3)</f>
        <v>5032.666666666667</v>
      </c>
      <c r="J17" s="628" t="str">
        <f t="shared" si="1"/>
        <v/>
      </c>
      <c r="K17" s="628" t="str">
        <f t="shared" si="0"/>
        <v/>
      </c>
      <c r="L17" s="228"/>
      <c r="M17" s="78"/>
      <c r="N17" s="57"/>
      <c r="O17" s="57"/>
      <c r="P17" s="57"/>
      <c r="Q17" s="57"/>
      <c r="R17" s="57"/>
    </row>
    <row r="18" spans="1:18" ht="13.8" x14ac:dyDescent="0.25">
      <c r="A18" s="78"/>
      <c r="B18" s="599">
        <v>640</v>
      </c>
      <c r="C18" s="580" t="s">
        <v>470</v>
      </c>
      <c r="D18" s="487">
        <f>Data!B25</f>
        <v>8961</v>
      </c>
      <c r="E18" s="487">
        <f>Data!C25</f>
        <v>7104</v>
      </c>
      <c r="F18" s="616">
        <f>Data!D25</f>
        <v>6999</v>
      </c>
      <c r="G18" s="491">
        <v>7000</v>
      </c>
      <c r="H18" s="485">
        <v>7200</v>
      </c>
      <c r="I18" s="616">
        <f>IF(Data!$H$5="Actual", SUM(D18+E18+F18+G18)/4, SUM(D18+E18+F18)/3)</f>
        <v>7688</v>
      </c>
      <c r="J18" s="628" t="str">
        <f t="shared" si="1"/>
        <v/>
      </c>
      <c r="K18" s="628" t="str">
        <f t="shared" si="0"/>
        <v/>
      </c>
      <c r="L18" s="228"/>
      <c r="M18" s="78"/>
      <c r="N18" s="57"/>
      <c r="O18" s="57"/>
      <c r="P18" s="57"/>
      <c r="Q18" s="57"/>
      <c r="R18" s="57"/>
    </row>
    <row r="19" spans="1:18" ht="13.8" x14ac:dyDescent="0.25">
      <c r="A19" s="78"/>
      <c r="B19" s="599">
        <v>650</v>
      </c>
      <c r="C19" s="580" t="s">
        <v>788</v>
      </c>
      <c r="D19" s="487">
        <f>Data!B26</f>
        <v>44481</v>
      </c>
      <c r="E19" s="487">
        <f>Data!C26</f>
        <v>83908</v>
      </c>
      <c r="F19" s="616">
        <f>Data!D26</f>
        <v>103427</v>
      </c>
      <c r="G19" s="491">
        <v>109000</v>
      </c>
      <c r="H19" s="485">
        <v>61000</v>
      </c>
      <c r="I19" s="616">
        <f>IF(Data!$H$5="Actual", SUM(D19+E19+F19+G19)/4, SUM(D19+E19+F19)/3)</f>
        <v>77272</v>
      </c>
      <c r="J19" s="628" t="str">
        <f t="shared" si="1"/>
        <v>Explain</v>
      </c>
      <c r="K19" s="628" t="str">
        <f t="shared" si="0"/>
        <v>Explain</v>
      </c>
      <c r="L19" s="228"/>
      <c r="M19" s="78"/>
      <c r="N19" s="57"/>
      <c r="O19" s="57"/>
      <c r="P19" s="57"/>
      <c r="Q19" s="57"/>
      <c r="R19" s="57"/>
    </row>
    <row r="20" spans="1:18" ht="14.25" customHeight="1" x14ac:dyDescent="0.25">
      <c r="A20" s="78"/>
      <c r="B20" s="599">
        <v>660</v>
      </c>
      <c r="C20" s="580" t="s">
        <v>484</v>
      </c>
      <c r="D20" s="488">
        <f>Data!B27</f>
        <v>1454</v>
      </c>
      <c r="E20" s="488">
        <f>Data!C27</f>
        <v>1256</v>
      </c>
      <c r="F20" s="619">
        <f>Data!D27</f>
        <v>997</v>
      </c>
      <c r="G20" s="693">
        <v>1200</v>
      </c>
      <c r="H20" s="485">
        <v>1300</v>
      </c>
      <c r="I20" s="619">
        <f>IF(Data!$H$5="Actual", SUM(D20+E20+F20+G20)/4, SUM(D20+E20+F20)/3)</f>
        <v>1235.6666666666667</v>
      </c>
      <c r="J20" s="628" t="str">
        <f t="shared" si="1"/>
        <v/>
      </c>
      <c r="K20" s="628" t="str">
        <f t="shared" si="0"/>
        <v/>
      </c>
      <c r="L20" s="228"/>
      <c r="M20" s="78"/>
      <c r="N20" s="57"/>
      <c r="O20" s="57"/>
      <c r="P20" s="57"/>
      <c r="Q20" s="57"/>
      <c r="R20" s="57"/>
    </row>
    <row r="21" spans="1:18" ht="17.7" customHeight="1" x14ac:dyDescent="0.25">
      <c r="A21" s="78"/>
      <c r="B21" s="599"/>
      <c r="C21" s="580"/>
      <c r="D21" s="616"/>
      <c r="E21" s="616"/>
      <c r="F21" s="616"/>
      <c r="G21" s="694"/>
      <c r="H21" s="694"/>
      <c r="I21" s="614"/>
      <c r="J21" s="631"/>
      <c r="K21" s="631"/>
      <c r="L21" s="228"/>
      <c r="M21" s="78"/>
      <c r="N21" s="57"/>
      <c r="O21" s="57"/>
      <c r="P21" s="57"/>
      <c r="Q21" s="57"/>
      <c r="R21" s="57"/>
    </row>
    <row r="22" spans="1:18" ht="13.8" x14ac:dyDescent="0.25">
      <c r="A22" s="78"/>
      <c r="B22" s="599"/>
      <c r="C22" s="580" t="s">
        <v>789</v>
      </c>
      <c r="D22" s="622">
        <f t="shared" ref="D22:I22" si="2">SUM(D14:D20)</f>
        <v>107363</v>
      </c>
      <c r="E22" s="622">
        <f t="shared" si="2"/>
        <v>145806</v>
      </c>
      <c r="F22" s="622">
        <f t="shared" si="2"/>
        <v>169456</v>
      </c>
      <c r="G22" s="622">
        <f t="shared" si="2"/>
        <v>174000</v>
      </c>
      <c r="H22" s="622">
        <f t="shared" si="2"/>
        <v>131200</v>
      </c>
      <c r="I22" s="622">
        <f t="shared" si="2"/>
        <v>140874.99999999997</v>
      </c>
      <c r="J22" s="671"/>
      <c r="K22" s="631"/>
      <c r="L22" s="228"/>
      <c r="M22" s="78"/>
      <c r="N22" s="57"/>
      <c r="O22" s="57"/>
      <c r="P22" s="57"/>
      <c r="Q22" s="57"/>
      <c r="R22" s="57"/>
    </row>
    <row r="23" spans="1:18" ht="13.8" x14ac:dyDescent="0.25">
      <c r="A23" s="78"/>
      <c r="B23" s="599"/>
      <c r="C23" s="580"/>
      <c r="D23" s="616"/>
      <c r="E23" s="616"/>
      <c r="F23" s="616"/>
      <c r="G23" s="491"/>
      <c r="H23" s="491"/>
      <c r="I23" s="617"/>
      <c r="J23" s="671"/>
      <c r="K23" s="631"/>
      <c r="L23" s="228"/>
      <c r="M23" s="78"/>
      <c r="N23" s="57"/>
      <c r="O23" s="57"/>
      <c r="P23" s="57"/>
      <c r="Q23" s="57"/>
      <c r="R23" s="57"/>
    </row>
    <row r="24" spans="1:18" ht="13.8" x14ac:dyDescent="0.25">
      <c r="A24" s="78"/>
      <c r="B24" s="599">
        <v>680</v>
      </c>
      <c r="C24" s="580" t="s">
        <v>475</v>
      </c>
      <c r="D24" s="613">
        <f>Data!B28</f>
        <v>54855</v>
      </c>
      <c r="E24" s="613">
        <f>Data!C28</f>
        <v>47591</v>
      </c>
      <c r="F24" s="613">
        <f>Data!D28</f>
        <v>42467</v>
      </c>
      <c r="G24" s="544">
        <v>48000</v>
      </c>
      <c r="H24" s="674">
        <v>53500</v>
      </c>
      <c r="I24" s="613">
        <f>IF(Data!$H$5="Actual", SUM(D24+E24+F24+G24)/4, SUM(D24+E24+F24)/3)</f>
        <v>48304.333333333336</v>
      </c>
      <c r="J24" s="628" t="str">
        <f t="shared" ref="J24:J32" si="3">IF(I24&lt;&gt;0,IF((G24-I24)/I24&gt;0.15,"Explain",IF((G24-I24)/I24&lt; -0.15,"Explain","")),"")</f>
        <v/>
      </c>
      <c r="K24" s="696" t="str">
        <f t="shared" ref="K24:K32" si="4">IF(I24&lt;&gt;0,IF((H24-I24)/I24&gt;0.15,"Explain",IF((H24-I24)/I24&lt; -0.15,"Explain","")),"")</f>
        <v/>
      </c>
      <c r="L24" s="228"/>
      <c r="M24" s="78"/>
      <c r="N24" s="57"/>
      <c r="O24" s="57"/>
      <c r="P24" s="57"/>
      <c r="Q24" s="57"/>
      <c r="R24" s="57"/>
    </row>
    <row r="25" spans="1:18" ht="13.8" x14ac:dyDescent="0.25">
      <c r="A25" s="78"/>
      <c r="B25" s="599">
        <v>681</v>
      </c>
      <c r="C25" s="580" t="s">
        <v>476</v>
      </c>
      <c r="D25" s="616">
        <f>Data!B29</f>
        <v>11281</v>
      </c>
      <c r="E25" s="616">
        <f>Data!C29</f>
        <v>12538</v>
      </c>
      <c r="F25" s="616">
        <f>Data!D29</f>
        <v>13676</v>
      </c>
      <c r="G25" s="491">
        <v>14000</v>
      </c>
      <c r="H25" s="485">
        <v>14350</v>
      </c>
      <c r="I25" s="616">
        <f>IF(Data!$H$5="Actual", SUM(D25+E25+F25+G25)/4, SUM(D25+E25+F25)/3)</f>
        <v>12498.333333333334</v>
      </c>
      <c r="J25" s="628" t="str">
        <f t="shared" si="3"/>
        <v/>
      </c>
      <c r="K25" s="628" t="str">
        <f t="shared" si="4"/>
        <v/>
      </c>
      <c r="L25" s="228"/>
      <c r="M25" s="78"/>
      <c r="N25" s="57"/>
      <c r="O25" s="57"/>
      <c r="P25" s="57"/>
      <c r="Q25" s="57"/>
      <c r="R25" s="57"/>
    </row>
    <row r="26" spans="1:18" ht="13.8" x14ac:dyDescent="0.25">
      <c r="A26" s="78"/>
      <c r="B26" s="599">
        <v>682</v>
      </c>
      <c r="C26" s="580" t="s">
        <v>478</v>
      </c>
      <c r="D26" s="616">
        <f>Data!B30</f>
        <v>23791</v>
      </c>
      <c r="E26" s="616">
        <f>Data!C30</f>
        <v>48760</v>
      </c>
      <c r="F26" s="616">
        <f>Data!D30</f>
        <v>39408</v>
      </c>
      <c r="G26" s="491">
        <v>40000</v>
      </c>
      <c r="H26" s="485">
        <v>41000</v>
      </c>
      <c r="I26" s="616">
        <f>IF(Data!$H$5="Actual", SUM(D26+E26+F26+G26)/4, SUM(D26+E26+F26)/3)</f>
        <v>37319.666666666664</v>
      </c>
      <c r="J26" s="628" t="str">
        <f t="shared" si="3"/>
        <v/>
      </c>
      <c r="K26" s="628" t="str">
        <f t="shared" si="4"/>
        <v/>
      </c>
      <c r="L26" s="228"/>
      <c r="M26" s="78"/>
      <c r="N26" s="57"/>
      <c r="O26" s="57"/>
      <c r="P26" s="57"/>
      <c r="Q26" s="57"/>
      <c r="R26" s="57"/>
    </row>
    <row r="27" spans="1:18" ht="13.8" x14ac:dyDescent="0.25">
      <c r="A27" s="78"/>
      <c r="B27" s="599">
        <v>684</v>
      </c>
      <c r="C27" s="580" t="s">
        <v>790</v>
      </c>
      <c r="D27" s="616">
        <f>Data!B31</f>
        <v>8213</v>
      </c>
      <c r="E27" s="616">
        <f>Data!C31</f>
        <v>8573</v>
      </c>
      <c r="F27" s="616">
        <f>Data!D31</f>
        <v>9109</v>
      </c>
      <c r="G27" s="491">
        <v>9400</v>
      </c>
      <c r="H27" s="485">
        <v>9700</v>
      </c>
      <c r="I27" s="616">
        <f>IF(Data!$H$5="Actual", SUM(D27+E27+F27+G27)/4, SUM(D27+E27+F27)/3)</f>
        <v>8631.6666666666661</v>
      </c>
      <c r="J27" s="628" t="str">
        <f t="shared" si="3"/>
        <v/>
      </c>
      <c r="K27" s="628" t="str">
        <f t="shared" si="4"/>
        <v/>
      </c>
      <c r="L27" s="228"/>
      <c r="M27" s="78"/>
      <c r="N27" s="57"/>
      <c r="O27" s="57"/>
      <c r="P27" s="57"/>
      <c r="Q27" s="57"/>
      <c r="R27" s="57"/>
    </row>
    <row r="28" spans="1:18" ht="13.8" x14ac:dyDescent="0.25">
      <c r="A28" s="78"/>
      <c r="B28" s="599">
        <v>686</v>
      </c>
      <c r="C28" s="580" t="s">
        <v>481</v>
      </c>
      <c r="D28" s="616">
        <f>Data!B32</f>
        <v>22220</v>
      </c>
      <c r="E28" s="616">
        <f>Data!C32</f>
        <v>19472</v>
      </c>
      <c r="F28" s="616">
        <f>Data!D32</f>
        <v>18483</v>
      </c>
      <c r="G28" s="491">
        <v>20089</v>
      </c>
      <c r="H28" s="485">
        <v>23500</v>
      </c>
      <c r="I28" s="616">
        <f>IF(Data!$H$5="Actual", SUM(D28+E28+F28+G28)/4, SUM(D28+E28+F28)/3)</f>
        <v>20058.333333333332</v>
      </c>
      <c r="J28" s="628" t="str">
        <f t="shared" si="3"/>
        <v/>
      </c>
      <c r="K28" s="628" t="str">
        <f t="shared" si="4"/>
        <v>Explain</v>
      </c>
      <c r="L28" s="228"/>
      <c r="M28" s="78"/>
      <c r="N28" s="57"/>
      <c r="O28" s="57"/>
      <c r="P28" s="57"/>
      <c r="Q28" s="57"/>
      <c r="R28" s="57"/>
    </row>
    <row r="29" spans="1:18" ht="13.8" x14ac:dyDescent="0.25">
      <c r="A29" s="78"/>
      <c r="B29" s="599">
        <v>688</v>
      </c>
      <c r="C29" s="580" t="s">
        <v>482</v>
      </c>
      <c r="D29" s="616">
        <f>Data!B33</f>
        <v>70</v>
      </c>
      <c r="E29" s="616">
        <f>Data!C33</f>
        <v>149</v>
      </c>
      <c r="F29" s="616">
        <f>Data!D33</f>
        <v>250</v>
      </c>
      <c r="G29" s="491">
        <v>150</v>
      </c>
      <c r="H29" s="485">
        <v>2000</v>
      </c>
      <c r="I29" s="616">
        <f>IF(Data!$H$5="Actual", SUM(D29+E29+F29+G29)/4, SUM(D29+E29+F29)/3)</f>
        <v>156.33333333333334</v>
      </c>
      <c r="J29" s="628" t="str">
        <f t="shared" si="3"/>
        <v/>
      </c>
      <c r="K29" s="628" t="str">
        <f t="shared" si="4"/>
        <v>Explain</v>
      </c>
      <c r="L29" s="228"/>
      <c r="M29" s="78"/>
      <c r="N29" s="57"/>
      <c r="O29" s="57"/>
      <c r="P29" s="57"/>
      <c r="Q29" s="57"/>
      <c r="R29" s="57"/>
    </row>
    <row r="30" spans="1:18" ht="13.8" x14ac:dyDescent="0.25">
      <c r="A30" s="78"/>
      <c r="B30" s="599">
        <v>689</v>
      </c>
      <c r="C30" s="580" t="s">
        <v>483</v>
      </c>
      <c r="D30" s="616">
        <f>Data!B34</f>
        <v>862</v>
      </c>
      <c r="E30" s="616">
        <f>Data!C34</f>
        <v>736</v>
      </c>
      <c r="F30" s="616">
        <f>Data!D34</f>
        <v>1078</v>
      </c>
      <c r="G30" s="491">
        <v>1000</v>
      </c>
      <c r="H30" s="485">
        <v>1025</v>
      </c>
      <c r="I30" s="616">
        <f>IF(Data!$H$5="Actual", SUM(D30+E30+F30+G30)/4, SUM(D30+E30+F30)/3)</f>
        <v>892</v>
      </c>
      <c r="J30" s="628" t="str">
        <f t="shared" si="3"/>
        <v/>
      </c>
      <c r="K30" s="628" t="str">
        <f t="shared" si="4"/>
        <v/>
      </c>
      <c r="L30" s="228"/>
      <c r="M30" s="78"/>
      <c r="N30" s="57"/>
      <c r="O30" s="57"/>
      <c r="P30" s="57"/>
      <c r="Q30" s="57"/>
      <c r="R30" s="57"/>
    </row>
    <row r="31" spans="1:18" ht="13.8" x14ac:dyDescent="0.25">
      <c r="A31" s="78"/>
      <c r="B31" s="599">
        <v>690</v>
      </c>
      <c r="C31" s="580" t="s">
        <v>471</v>
      </c>
      <c r="D31" s="616">
        <f>Data!B35</f>
        <v>0</v>
      </c>
      <c r="E31" s="616">
        <f>Data!C35</f>
        <v>0</v>
      </c>
      <c r="F31" s="616">
        <f>Data!D35</f>
        <v>55</v>
      </c>
      <c r="G31" s="491">
        <v>20</v>
      </c>
      <c r="H31" s="485">
        <v>20</v>
      </c>
      <c r="I31" s="616">
        <f>IF(Data!$H$5="Actual", SUM(D31+E31+F31+G31)/4, SUM(D31+E31+F31)/3)</f>
        <v>18.333333333333332</v>
      </c>
      <c r="J31" s="628" t="str">
        <f t="shared" si="3"/>
        <v/>
      </c>
      <c r="K31" s="628" t="str">
        <f t="shared" si="4"/>
        <v/>
      </c>
      <c r="L31" s="228"/>
      <c r="M31" s="78"/>
      <c r="N31" s="57"/>
      <c r="O31" s="57"/>
      <c r="P31" s="57"/>
      <c r="Q31" s="57"/>
      <c r="R31" s="57"/>
    </row>
    <row r="32" spans="1:18" ht="13.8" x14ac:dyDescent="0.25">
      <c r="A32" s="78"/>
      <c r="B32" s="599">
        <v>691</v>
      </c>
      <c r="C32" s="580" t="s">
        <v>472</v>
      </c>
      <c r="D32" s="619">
        <f>Data!B36</f>
        <v>0</v>
      </c>
      <c r="E32" s="619">
        <f>Data!C36</f>
        <v>0</v>
      </c>
      <c r="F32" s="619">
        <f>Data!D36</f>
        <v>0</v>
      </c>
      <c r="G32" s="693">
        <f>Data!E36</f>
        <v>0</v>
      </c>
      <c r="H32" s="485">
        <v>0</v>
      </c>
      <c r="I32" s="619">
        <f>IF(Data!$H$5="Actual", SUM(D32+E32+F32+G32)/4, SUM(D32+E32+F32)/3)</f>
        <v>0</v>
      </c>
      <c r="J32" s="696" t="str">
        <f t="shared" si="3"/>
        <v/>
      </c>
      <c r="K32" s="696" t="str">
        <f t="shared" si="4"/>
        <v/>
      </c>
      <c r="L32" s="228"/>
      <c r="M32" s="78"/>
      <c r="N32" s="57"/>
      <c r="O32" s="57"/>
      <c r="P32" s="57"/>
      <c r="Q32" s="57"/>
      <c r="R32" s="57"/>
    </row>
    <row r="33" spans="1:20" ht="13.8" x14ac:dyDescent="0.25">
      <c r="A33" s="78"/>
      <c r="B33" s="670"/>
      <c r="C33" s="580"/>
      <c r="D33" s="616"/>
      <c r="E33" s="616"/>
      <c r="F33" s="616"/>
      <c r="G33" s="694"/>
      <c r="H33" s="694"/>
      <c r="I33" s="614"/>
      <c r="J33" s="631"/>
      <c r="K33" s="631"/>
      <c r="L33" s="228"/>
      <c r="M33" s="78"/>
      <c r="N33" s="57"/>
      <c r="O33" s="57"/>
      <c r="P33" s="57"/>
      <c r="Q33" s="57"/>
      <c r="R33" s="57"/>
    </row>
    <row r="34" spans="1:20" ht="13.8" x14ac:dyDescent="0.25">
      <c r="A34" s="78"/>
      <c r="B34" s="670"/>
      <c r="C34" s="580" t="s">
        <v>791</v>
      </c>
      <c r="D34" s="622">
        <f>SUM(D24:D32)</f>
        <v>121292</v>
      </c>
      <c r="E34" s="622">
        <f>SUM(E24:E32)</f>
        <v>137819</v>
      </c>
      <c r="F34" s="622">
        <f>SUM(F24:F32)</f>
        <v>124526</v>
      </c>
      <c r="G34" s="622">
        <f>SUM(G24:G32)</f>
        <v>132659</v>
      </c>
      <c r="H34" s="622">
        <f>SUM(H24:H32)</f>
        <v>145095</v>
      </c>
      <c r="I34" s="622">
        <f>SUM(I24:I31)</f>
        <v>127879</v>
      </c>
      <c r="J34" s="631"/>
      <c r="K34" s="631"/>
      <c r="L34" s="228"/>
      <c r="M34" s="78"/>
      <c r="N34" s="57"/>
      <c r="O34" s="57"/>
      <c r="P34" s="57"/>
      <c r="Q34" s="57"/>
      <c r="R34" s="57"/>
    </row>
    <row r="35" spans="1:20" ht="13.8" x14ac:dyDescent="0.25">
      <c r="A35" s="78"/>
      <c r="B35" s="670"/>
      <c r="C35" s="580"/>
      <c r="D35" s="616"/>
      <c r="E35" s="616"/>
      <c r="F35" s="616"/>
      <c r="G35" s="491"/>
      <c r="H35" s="491"/>
      <c r="I35" s="617"/>
      <c r="J35" s="631"/>
      <c r="K35" s="631"/>
      <c r="L35" s="228"/>
      <c r="M35" s="78"/>
      <c r="N35" s="57"/>
      <c r="O35" s="57"/>
      <c r="P35" s="57"/>
      <c r="Q35" s="57"/>
      <c r="R35" s="57"/>
    </row>
    <row r="36" spans="1:20" ht="14.4" thickBot="1" x14ac:dyDescent="0.3">
      <c r="A36" s="78"/>
      <c r="B36" s="670"/>
      <c r="C36" s="580" t="s">
        <v>792</v>
      </c>
      <c r="D36" s="695">
        <f t="shared" ref="D36:I36" si="5">SUM(D22 + D34)</f>
        <v>228655</v>
      </c>
      <c r="E36" s="695">
        <f t="shared" si="5"/>
        <v>283625</v>
      </c>
      <c r="F36" s="695">
        <f t="shared" si="5"/>
        <v>293982</v>
      </c>
      <c r="G36" s="695">
        <f t="shared" si="5"/>
        <v>306659</v>
      </c>
      <c r="H36" s="695">
        <f t="shared" si="5"/>
        <v>276295</v>
      </c>
      <c r="I36" s="695">
        <f t="shared" si="5"/>
        <v>268754</v>
      </c>
      <c r="J36" s="671"/>
      <c r="K36" s="671"/>
      <c r="L36" s="228"/>
      <c r="M36" s="78"/>
      <c r="N36" s="57"/>
      <c r="O36" s="57"/>
      <c r="P36" s="57"/>
      <c r="Q36" s="57"/>
      <c r="R36" s="57"/>
    </row>
    <row r="37" spans="1:20" ht="14.4" thickTop="1" x14ac:dyDescent="0.25">
      <c r="A37" s="78"/>
      <c r="B37" s="670"/>
      <c r="C37" s="580"/>
      <c r="D37" s="614"/>
      <c r="E37" s="614"/>
      <c r="F37" s="614"/>
      <c r="G37" s="614"/>
      <c r="H37" s="614"/>
      <c r="I37" s="614"/>
      <c r="J37" s="671"/>
      <c r="K37" s="671"/>
      <c r="L37" s="228"/>
      <c r="M37" s="78"/>
      <c r="N37" s="57"/>
      <c r="O37" s="57"/>
      <c r="P37" s="57"/>
      <c r="Q37" s="57"/>
      <c r="R37" s="57"/>
    </row>
    <row r="38" spans="1:20" x14ac:dyDescent="0.25">
      <c r="A38" s="78"/>
      <c r="B38" s="595"/>
      <c r="C38" s="569"/>
      <c r="D38" s="641"/>
      <c r="E38" s="641"/>
      <c r="F38" s="641"/>
      <c r="G38" s="641"/>
      <c r="H38" s="480"/>
      <c r="I38" s="480"/>
      <c r="J38" s="678"/>
      <c r="K38" s="678"/>
      <c r="L38" s="228"/>
      <c r="M38" s="78"/>
      <c r="N38" s="57"/>
      <c r="O38" s="57"/>
      <c r="P38" s="57"/>
      <c r="Q38" s="57"/>
      <c r="R38" s="57"/>
    </row>
    <row r="39" spans="1:20" x14ac:dyDescent="0.25">
      <c r="A39" s="78"/>
      <c r="B39" s="697" t="s">
        <v>340</v>
      </c>
      <c r="C39" s="673" t="str">
        <f>CONCATENATE("All ",TestYear-1," and test year ",TestYear," estimates that vary from the three year average by")</f>
        <v>All 2022 and test year 2023 estimates that vary from the three year average by</v>
      </c>
      <c r="D39" s="477"/>
      <c r="E39" s="477"/>
      <c r="F39" s="691"/>
      <c r="G39" s="648"/>
      <c r="H39" s="648"/>
      <c r="I39" s="648"/>
      <c r="J39" s="679"/>
      <c r="K39" s="632"/>
      <c r="L39" s="680"/>
      <c r="M39" s="558"/>
      <c r="N39" s="1878"/>
      <c r="O39" s="1878"/>
      <c r="P39" s="1878"/>
      <c r="Q39" s="1877"/>
      <c r="R39" s="1878"/>
      <c r="S39" s="1878"/>
      <c r="T39" s="1878"/>
    </row>
    <row r="40" spans="1:20" x14ac:dyDescent="0.25">
      <c r="A40" s="78"/>
      <c r="B40" s="649"/>
      <c r="C40" s="648" t="s">
        <v>855</v>
      </c>
      <c r="D40" s="477"/>
      <c r="E40" s="477"/>
      <c r="F40" s="692"/>
      <c r="G40" s="648"/>
      <c r="H40" s="648"/>
      <c r="I40" s="648"/>
      <c r="J40" s="681"/>
      <c r="K40" s="632"/>
      <c r="L40" s="680"/>
      <c r="M40" s="560"/>
      <c r="N40" s="1878"/>
      <c r="O40" s="1878"/>
      <c r="P40" s="1878"/>
      <c r="Q40" s="1880"/>
      <c r="R40" s="1878"/>
      <c r="S40" s="1878"/>
      <c r="T40" s="1878"/>
    </row>
    <row r="41" spans="1:20" x14ac:dyDescent="0.25">
      <c r="A41" s="78"/>
      <c r="B41" s="530"/>
      <c r="C41" s="477"/>
      <c r="D41" s="641"/>
      <c r="E41" s="641"/>
      <c r="F41" s="641"/>
      <c r="G41" s="641"/>
      <c r="H41" s="480"/>
      <c r="I41" s="480"/>
      <c r="J41" s="671"/>
      <c r="K41" s="671"/>
      <c r="L41" s="228"/>
      <c r="M41" s="78"/>
      <c r="N41" s="57"/>
      <c r="O41" s="57"/>
      <c r="P41" s="57"/>
      <c r="Q41" s="57"/>
      <c r="R41" s="57"/>
    </row>
    <row r="42" spans="1:20" x14ac:dyDescent="0.25">
      <c r="A42" s="78"/>
      <c r="B42" s="627"/>
      <c r="C42" s="565"/>
      <c r="D42" s="630"/>
      <c r="E42" s="630"/>
      <c r="F42" s="630"/>
      <c r="G42" s="625"/>
      <c r="H42" s="566"/>
      <c r="I42" s="566"/>
      <c r="J42" s="671"/>
      <c r="K42" s="671"/>
      <c r="L42" s="228"/>
      <c r="M42" s="78"/>
      <c r="N42" s="57"/>
      <c r="O42" s="57"/>
      <c r="P42" s="57"/>
      <c r="Q42" s="57"/>
      <c r="R42" s="57"/>
    </row>
    <row r="43" spans="1:20" x14ac:dyDescent="0.25">
      <c r="A43" s="78"/>
      <c r="B43" s="627"/>
      <c r="C43" s="565"/>
      <c r="D43" s="630"/>
      <c r="E43" s="630"/>
      <c r="F43" s="630"/>
      <c r="G43" s="625"/>
      <c r="H43" s="566"/>
      <c r="I43" s="566"/>
      <c r="J43" s="671"/>
      <c r="K43" s="671"/>
      <c r="L43" s="228"/>
      <c r="M43" s="78"/>
      <c r="N43" s="57"/>
      <c r="O43" s="57"/>
      <c r="P43" s="57"/>
      <c r="Q43" s="57"/>
      <c r="R43" s="57"/>
    </row>
    <row r="44" spans="1:20" x14ac:dyDescent="0.25">
      <c r="A44" s="78"/>
      <c r="B44" s="627"/>
      <c r="C44" s="565"/>
      <c r="D44" s="630"/>
      <c r="E44" s="630"/>
      <c r="F44" s="630"/>
      <c r="G44" s="625"/>
      <c r="H44" s="566"/>
      <c r="I44" s="566"/>
      <c r="J44" s="671"/>
      <c r="K44" s="671"/>
      <c r="L44" s="228"/>
      <c r="M44" s="78"/>
      <c r="N44" s="57"/>
      <c r="O44" s="57"/>
      <c r="P44" s="57"/>
      <c r="Q44" s="57"/>
      <c r="R44" s="57"/>
    </row>
    <row r="45" spans="1:20" x14ac:dyDescent="0.25">
      <c r="A45" s="78"/>
      <c r="B45" s="627"/>
      <c r="C45" s="565"/>
      <c r="D45" s="630"/>
      <c r="E45" s="630"/>
      <c r="F45" s="630"/>
      <c r="G45" s="625"/>
      <c r="H45" s="566"/>
      <c r="I45" s="566"/>
      <c r="J45" s="671"/>
      <c r="K45" s="671"/>
      <c r="L45" s="228"/>
      <c r="M45" s="78"/>
      <c r="N45" s="57"/>
      <c r="O45" s="57"/>
      <c r="P45" s="57"/>
      <c r="Q45" s="57"/>
      <c r="R45" s="57"/>
    </row>
    <row r="46" spans="1:20" x14ac:dyDescent="0.25">
      <c r="A46" s="78"/>
      <c r="B46" s="627"/>
      <c r="C46" s="565"/>
      <c r="D46" s="630"/>
      <c r="E46" s="630"/>
      <c r="F46" s="630"/>
      <c r="G46" s="625"/>
      <c r="H46" s="566"/>
      <c r="I46" s="566"/>
      <c r="J46" s="671"/>
      <c r="K46" s="671"/>
      <c r="L46" s="228"/>
      <c r="M46" s="78"/>
      <c r="N46" s="57"/>
      <c r="O46" s="57"/>
      <c r="P46" s="57"/>
      <c r="Q46" s="57"/>
      <c r="R46" s="57"/>
    </row>
    <row r="47" spans="1:20" ht="13.8" thickBot="1" x14ac:dyDescent="0.3">
      <c r="A47" s="78"/>
      <c r="B47" s="682"/>
      <c r="C47" s="683"/>
      <c r="D47" s="684"/>
      <c r="E47" s="684"/>
      <c r="F47" s="684"/>
      <c r="G47" s="685"/>
      <c r="H47" s="231"/>
      <c r="I47" s="231"/>
      <c r="J47" s="686"/>
      <c r="K47" s="686"/>
      <c r="L47" s="232"/>
      <c r="M47" s="78"/>
      <c r="N47" s="57"/>
      <c r="O47" s="57"/>
      <c r="P47" s="57"/>
      <c r="Q47" s="57"/>
      <c r="R47" s="57"/>
    </row>
    <row r="48" spans="1:20" ht="13.8" thickTop="1" x14ac:dyDescent="0.25">
      <c r="A48" s="78"/>
      <c r="B48" s="78"/>
      <c r="C48" s="78"/>
      <c r="D48" s="559"/>
      <c r="E48" s="559"/>
      <c r="F48" s="555"/>
      <c r="G48" s="554"/>
      <c r="H48" s="185"/>
      <c r="I48" s="185"/>
      <c r="J48" s="556"/>
      <c r="K48" s="556"/>
      <c r="L48" s="78"/>
      <c r="M48" s="78"/>
      <c r="N48" s="57"/>
      <c r="O48" s="57"/>
      <c r="P48" s="57"/>
      <c r="Q48" s="57"/>
      <c r="R48" s="57"/>
    </row>
    <row r="49" spans="1:18" x14ac:dyDescent="0.25">
      <c r="A49" s="78"/>
      <c r="B49" s="2501" t="s">
        <v>1232</v>
      </c>
      <c r="C49" s="2502"/>
      <c r="D49" s="2502"/>
      <c r="E49" s="2502"/>
      <c r="F49" s="2502"/>
      <c r="G49" s="2502"/>
      <c r="H49" s="2502"/>
      <c r="I49" s="2502"/>
      <c r="J49" s="2502"/>
      <c r="K49" s="2502"/>
      <c r="L49" s="2503"/>
      <c r="M49" s="78"/>
      <c r="N49" s="57"/>
      <c r="O49" s="57"/>
      <c r="P49" s="57"/>
      <c r="Q49" s="57"/>
      <c r="R49" s="57"/>
    </row>
    <row r="50" spans="1:18" x14ac:dyDescent="0.25">
      <c r="A50" s="78"/>
      <c r="B50" s="2504"/>
      <c r="C50" s="2505"/>
      <c r="D50" s="2505"/>
      <c r="E50" s="2505"/>
      <c r="F50" s="2505"/>
      <c r="G50" s="2505"/>
      <c r="H50" s="2505"/>
      <c r="I50" s="2505"/>
      <c r="J50" s="2505"/>
      <c r="K50" s="2505"/>
      <c r="L50" s="2506"/>
      <c r="M50" s="78"/>
      <c r="N50" s="57"/>
      <c r="O50" s="57"/>
      <c r="P50" s="57"/>
      <c r="Q50" s="57"/>
      <c r="R50" s="57"/>
    </row>
    <row r="51" spans="1:18" x14ac:dyDescent="0.25">
      <c r="A51" s="78"/>
      <c r="B51" s="1851"/>
      <c r="C51" s="2507" t="s">
        <v>1547</v>
      </c>
      <c r="D51" s="2508"/>
      <c r="E51" s="2508"/>
      <c r="F51" s="2508"/>
      <c r="G51" s="2508"/>
      <c r="H51" s="2508"/>
      <c r="I51" s="2508"/>
      <c r="J51" s="2508"/>
      <c r="K51" s="2509"/>
      <c r="L51" s="1860"/>
      <c r="M51" s="78"/>
      <c r="N51" s="57"/>
      <c r="O51" s="57"/>
      <c r="P51" s="57"/>
      <c r="Q51" s="57"/>
      <c r="R51" s="57"/>
    </row>
    <row r="52" spans="1:18" x14ac:dyDescent="0.25">
      <c r="A52" s="78"/>
      <c r="B52" s="1851"/>
      <c r="C52" s="2510"/>
      <c r="D52" s="2511"/>
      <c r="E52" s="2511"/>
      <c r="F52" s="2511"/>
      <c r="G52" s="2511"/>
      <c r="H52" s="2511"/>
      <c r="I52" s="2511"/>
      <c r="J52" s="2511"/>
      <c r="K52" s="2512"/>
      <c r="L52" s="1860"/>
      <c r="M52" s="78"/>
      <c r="N52" s="57"/>
      <c r="O52" s="57"/>
      <c r="P52" s="57"/>
      <c r="Q52" s="57"/>
      <c r="R52" s="57"/>
    </row>
    <row r="53" spans="1:18" x14ac:dyDescent="0.25">
      <c r="A53" s="78"/>
      <c r="B53" s="1851"/>
      <c r="C53" s="2510"/>
      <c r="D53" s="2511"/>
      <c r="E53" s="2511"/>
      <c r="F53" s="2511"/>
      <c r="G53" s="2511"/>
      <c r="H53" s="2511"/>
      <c r="I53" s="2511"/>
      <c r="J53" s="2511"/>
      <c r="K53" s="2512"/>
      <c r="L53" s="1860"/>
      <c r="M53" s="78"/>
      <c r="N53" s="57"/>
      <c r="O53" s="57"/>
      <c r="P53" s="57"/>
      <c r="Q53" s="57"/>
      <c r="R53" s="57"/>
    </row>
    <row r="54" spans="1:18" x14ac:dyDescent="0.25">
      <c r="A54" s="78"/>
      <c r="B54" s="1851"/>
      <c r="C54" s="2510"/>
      <c r="D54" s="2511"/>
      <c r="E54" s="2511"/>
      <c r="F54" s="2511"/>
      <c r="G54" s="2511"/>
      <c r="H54" s="2511"/>
      <c r="I54" s="2511"/>
      <c r="J54" s="2511"/>
      <c r="K54" s="2512"/>
      <c r="L54" s="1860"/>
      <c r="M54" s="78"/>
      <c r="N54" s="57"/>
      <c r="O54" s="57"/>
      <c r="P54" s="57"/>
      <c r="Q54" s="57"/>
      <c r="R54" s="57"/>
    </row>
    <row r="55" spans="1:18" x14ac:dyDescent="0.25">
      <c r="A55" s="78"/>
      <c r="B55" s="1851"/>
      <c r="C55" s="2510"/>
      <c r="D55" s="2511"/>
      <c r="E55" s="2511"/>
      <c r="F55" s="2511"/>
      <c r="G55" s="2511"/>
      <c r="H55" s="2511"/>
      <c r="I55" s="2511"/>
      <c r="J55" s="2511"/>
      <c r="K55" s="2512"/>
      <c r="L55" s="1860"/>
      <c r="M55" s="78"/>
      <c r="N55" s="57"/>
      <c r="O55" s="57"/>
      <c r="P55" s="57"/>
      <c r="Q55" s="57"/>
      <c r="R55" s="57"/>
    </row>
    <row r="56" spans="1:18" x14ac:dyDescent="0.25">
      <c r="A56" s="78"/>
      <c r="B56" s="1851"/>
      <c r="C56" s="2510"/>
      <c r="D56" s="2511"/>
      <c r="E56" s="2511"/>
      <c r="F56" s="2511"/>
      <c r="G56" s="2511"/>
      <c r="H56" s="2511"/>
      <c r="I56" s="2511"/>
      <c r="J56" s="2511"/>
      <c r="K56" s="2512"/>
      <c r="L56" s="1860"/>
      <c r="M56" s="78"/>
      <c r="N56" s="57"/>
      <c r="O56" s="57"/>
      <c r="P56" s="57"/>
      <c r="Q56" s="57"/>
      <c r="R56" s="57"/>
    </row>
    <row r="57" spans="1:18" x14ac:dyDescent="0.25">
      <c r="A57" s="78"/>
      <c r="B57" s="1851"/>
      <c r="C57" s="2510"/>
      <c r="D57" s="2511"/>
      <c r="E57" s="2511"/>
      <c r="F57" s="2511"/>
      <c r="G57" s="2511"/>
      <c r="H57" s="2511"/>
      <c r="I57" s="2511"/>
      <c r="J57" s="2511"/>
      <c r="K57" s="2512"/>
      <c r="L57" s="1860"/>
      <c r="M57" s="78"/>
      <c r="N57" s="57"/>
      <c r="O57" s="57"/>
      <c r="P57" s="57"/>
      <c r="Q57" s="57"/>
      <c r="R57" s="57"/>
    </row>
    <row r="58" spans="1:18" x14ac:dyDescent="0.25">
      <c r="A58" s="78"/>
      <c r="B58" s="1851"/>
      <c r="C58" s="2510"/>
      <c r="D58" s="2511"/>
      <c r="E58" s="2511"/>
      <c r="F58" s="2511"/>
      <c r="G58" s="2511"/>
      <c r="H58" s="2511"/>
      <c r="I58" s="2511"/>
      <c r="J58" s="2511"/>
      <c r="K58" s="2512"/>
      <c r="L58" s="1860"/>
      <c r="M58" s="180"/>
      <c r="N58" s="1106"/>
      <c r="O58" s="57"/>
      <c r="P58" s="57"/>
      <c r="Q58" s="57"/>
      <c r="R58" s="57"/>
    </row>
    <row r="59" spans="1:18" x14ac:dyDescent="0.25">
      <c r="A59" s="78"/>
      <c r="B59" s="1851"/>
      <c r="C59" s="2510"/>
      <c r="D59" s="2511"/>
      <c r="E59" s="2511"/>
      <c r="F59" s="2511"/>
      <c r="G59" s="2511"/>
      <c r="H59" s="2511"/>
      <c r="I59" s="2511"/>
      <c r="J59" s="2511"/>
      <c r="K59" s="2512"/>
      <c r="L59" s="1860"/>
      <c r="M59" s="180"/>
      <c r="N59" s="1106"/>
      <c r="O59" s="57"/>
      <c r="P59" s="57"/>
      <c r="Q59" s="57"/>
      <c r="R59" s="57"/>
    </row>
    <row r="60" spans="1:18" ht="20.100000000000001" customHeight="1" x14ac:dyDescent="0.25">
      <c r="A60" s="78"/>
      <c r="B60" s="1851"/>
      <c r="C60" s="2510"/>
      <c r="D60" s="2511"/>
      <c r="E60" s="2511"/>
      <c r="F60" s="2511"/>
      <c r="G60" s="2511"/>
      <c r="H60" s="2511"/>
      <c r="I60" s="2511"/>
      <c r="J60" s="2511"/>
      <c r="K60" s="2512"/>
      <c r="L60" s="1860"/>
      <c r="M60" s="180"/>
      <c r="N60" s="1106"/>
      <c r="O60" s="57"/>
      <c r="P60" s="57"/>
      <c r="Q60" s="57"/>
      <c r="R60" s="57"/>
    </row>
    <row r="61" spans="1:18" ht="14.7" customHeight="1" x14ac:dyDescent="0.25">
      <c r="A61" s="78"/>
      <c r="B61" s="1851"/>
      <c r="C61" s="2510"/>
      <c r="D61" s="2511"/>
      <c r="E61" s="2511"/>
      <c r="F61" s="2511"/>
      <c r="G61" s="2511"/>
      <c r="H61" s="2511"/>
      <c r="I61" s="2511"/>
      <c r="J61" s="2511"/>
      <c r="K61" s="2512"/>
      <c r="L61" s="1860"/>
      <c r="M61" s="180"/>
      <c r="N61" s="1106"/>
      <c r="O61" s="57"/>
      <c r="P61" s="57"/>
      <c r="Q61" s="57"/>
      <c r="R61" s="57"/>
    </row>
    <row r="62" spans="1:18" ht="15.75" customHeight="1" x14ac:dyDescent="0.25">
      <c r="A62" s="78"/>
      <c r="B62" s="1851"/>
      <c r="C62" s="2513"/>
      <c r="D62" s="2514"/>
      <c r="E62" s="2514"/>
      <c r="F62" s="2514"/>
      <c r="G62" s="2514"/>
      <c r="H62" s="2514"/>
      <c r="I62" s="2514"/>
      <c r="J62" s="2514"/>
      <c r="K62" s="2515"/>
      <c r="L62" s="1860"/>
      <c r="M62" s="180"/>
      <c r="N62" s="1106"/>
      <c r="O62" s="57"/>
      <c r="P62" s="57"/>
      <c r="Q62" s="57"/>
      <c r="R62" s="57"/>
    </row>
    <row r="63" spans="1:18" x14ac:dyDescent="0.25">
      <c r="A63" s="78"/>
      <c r="B63" s="1851"/>
      <c r="C63" s="205"/>
      <c r="D63" s="205"/>
      <c r="E63" s="205"/>
      <c r="F63" s="205"/>
      <c r="G63" s="531"/>
      <c r="H63" s="205"/>
      <c r="I63" s="205"/>
      <c r="J63" s="598"/>
      <c r="K63" s="598"/>
      <c r="L63" s="1860"/>
      <c r="M63" s="180"/>
      <c r="N63" s="1106"/>
      <c r="O63" s="57"/>
      <c r="P63" s="57"/>
      <c r="Q63" s="57"/>
      <c r="R63" s="57"/>
    </row>
    <row r="64" spans="1:18" x14ac:dyDescent="0.25">
      <c r="A64" s="78"/>
      <c r="B64" s="1853"/>
      <c r="C64" s="1854"/>
      <c r="D64" s="1854"/>
      <c r="E64" s="1854"/>
      <c r="F64" s="1854"/>
      <c r="G64" s="1855"/>
      <c r="H64" s="1854"/>
      <c r="I64" s="1854"/>
      <c r="J64" s="1856"/>
      <c r="K64" s="1856"/>
      <c r="L64" s="1861"/>
      <c r="M64" s="180"/>
      <c r="N64" s="1106"/>
      <c r="O64" s="57"/>
      <c r="P64" s="57"/>
      <c r="Q64" s="57"/>
      <c r="R64" s="57"/>
    </row>
    <row r="65" spans="1:20" x14ac:dyDescent="0.25">
      <c r="A65" s="78"/>
      <c r="B65" s="178"/>
      <c r="C65" s="180"/>
      <c r="D65" s="180"/>
      <c r="E65" s="180"/>
      <c r="F65" s="180"/>
      <c r="G65" s="186"/>
      <c r="H65" s="180"/>
      <c r="I65" s="180"/>
      <c r="J65" s="675"/>
      <c r="K65" s="675"/>
      <c r="L65" s="180"/>
      <c r="M65" s="180"/>
      <c r="N65" s="1106"/>
      <c r="O65" s="57"/>
      <c r="P65" s="57"/>
      <c r="Q65" s="57"/>
      <c r="R65" s="57"/>
    </row>
    <row r="66" spans="1:20" x14ac:dyDescent="0.25">
      <c r="A66" s="78"/>
      <c r="B66" s="178"/>
      <c r="C66" s="180"/>
      <c r="D66" s="180"/>
      <c r="E66" s="180"/>
      <c r="F66" s="180"/>
      <c r="G66" s="186"/>
      <c r="H66" s="180"/>
      <c r="I66" s="180"/>
      <c r="J66" s="675"/>
      <c r="K66" s="675"/>
      <c r="L66" s="180"/>
      <c r="M66" s="180"/>
      <c r="N66" s="1106"/>
      <c r="O66" s="57"/>
      <c r="P66" s="57"/>
      <c r="Q66" s="57"/>
      <c r="R66" s="57"/>
    </row>
    <row r="67" spans="1:20" s="57" customFormat="1" x14ac:dyDescent="0.25">
      <c r="B67" s="1867"/>
      <c r="C67" s="1106"/>
      <c r="D67" s="1106"/>
      <c r="E67" s="1106"/>
      <c r="F67" s="1106"/>
      <c r="G67" s="58"/>
      <c r="H67" s="1106"/>
      <c r="I67" s="1106"/>
      <c r="J67" s="1868"/>
      <c r="K67" s="1868"/>
      <c r="L67" s="1106"/>
      <c r="M67" s="1106"/>
      <c r="N67" s="1106"/>
    </row>
    <row r="68" spans="1:20" s="57" customFormat="1" x14ac:dyDescent="0.25">
      <c r="B68" s="1869"/>
      <c r="C68" s="1870"/>
      <c r="D68" s="1871"/>
      <c r="E68" s="1871"/>
      <c r="F68" s="1871"/>
      <c r="G68" s="1115"/>
      <c r="H68" s="1872"/>
      <c r="I68" s="1106"/>
      <c r="J68" s="1873"/>
      <c r="K68" s="1873"/>
      <c r="L68" s="1106"/>
      <c r="M68" s="1106"/>
      <c r="N68" s="1106"/>
    </row>
    <row r="69" spans="1:20" s="1106" customFormat="1" x14ac:dyDescent="0.25">
      <c r="B69" s="1874"/>
      <c r="C69" s="1875"/>
      <c r="D69" s="1871"/>
      <c r="E69" s="1871"/>
      <c r="F69" s="1871"/>
      <c r="G69" s="1115"/>
      <c r="H69" s="1114"/>
      <c r="I69" s="1114"/>
      <c r="J69" s="1873"/>
      <c r="K69" s="1873"/>
      <c r="O69" s="57"/>
      <c r="P69" s="57"/>
      <c r="Q69" s="57"/>
      <c r="R69" s="57"/>
      <c r="S69" s="57"/>
      <c r="T69" s="57"/>
    </row>
    <row r="70" spans="1:20" s="57" customFormat="1" x14ac:dyDescent="0.25">
      <c r="B70" s="1869"/>
      <c r="C70" s="1870"/>
      <c r="D70" s="1871"/>
      <c r="E70" s="1871"/>
      <c r="F70" s="1871"/>
      <c r="G70" s="1115"/>
      <c r="H70" s="1872"/>
      <c r="I70" s="1872"/>
      <c r="J70" s="1873"/>
      <c r="K70" s="1873"/>
      <c r="L70" s="1106"/>
      <c r="M70" s="1106"/>
      <c r="N70" s="1106"/>
    </row>
    <row r="71" spans="1:20" s="57" customFormat="1" x14ac:dyDescent="0.25">
      <c r="B71" s="1869"/>
      <c r="C71" s="1870"/>
      <c r="D71" s="1871"/>
      <c r="E71" s="1871"/>
      <c r="F71" s="1871"/>
      <c r="G71" s="1115"/>
      <c r="H71" s="1872"/>
      <c r="I71" s="1872"/>
      <c r="J71" s="1873"/>
      <c r="K71" s="1873"/>
      <c r="L71" s="1106"/>
      <c r="M71" s="1106"/>
      <c r="N71" s="1106"/>
    </row>
    <row r="72" spans="1:20" s="57" customFormat="1" x14ac:dyDescent="0.25">
      <c r="B72" s="1869"/>
      <c r="C72" s="1875"/>
      <c r="D72" s="1871"/>
      <c r="E72" s="1871"/>
      <c r="F72" s="1871"/>
      <c r="G72" s="1115"/>
      <c r="H72" s="1872"/>
      <c r="I72" s="1872"/>
      <c r="J72" s="1873"/>
      <c r="K72" s="1873"/>
      <c r="L72" s="1106"/>
      <c r="M72" s="1106"/>
      <c r="N72" s="1106"/>
    </row>
    <row r="73" spans="1:20" s="57" customFormat="1" x14ac:dyDescent="0.25">
      <c r="B73" s="1869"/>
      <c r="C73" s="1875"/>
      <c r="D73" s="1871"/>
      <c r="E73" s="1871"/>
      <c r="F73" s="1871"/>
      <c r="G73" s="1115"/>
      <c r="H73" s="1872"/>
      <c r="I73" s="1872"/>
      <c r="J73" s="1873"/>
      <c r="K73" s="1873"/>
      <c r="L73" s="1106"/>
      <c r="M73" s="1106"/>
      <c r="N73" s="1106"/>
    </row>
    <row r="74" spans="1:20" s="57" customFormat="1" x14ac:dyDescent="0.25">
      <c r="B74" s="1869"/>
      <c r="C74" s="1875"/>
      <c r="D74" s="1115"/>
      <c r="E74" s="1115"/>
      <c r="F74" s="1115"/>
      <c r="G74" s="1115"/>
      <c r="H74" s="1871"/>
      <c r="I74" s="1871"/>
      <c r="J74" s="1873"/>
      <c r="K74" s="1873"/>
      <c r="L74" s="1876"/>
      <c r="M74" s="1106"/>
      <c r="N74" s="1106"/>
    </row>
    <row r="75" spans="1:20" s="57" customFormat="1" x14ac:dyDescent="0.25">
      <c r="B75" s="1869"/>
      <c r="C75" s="1870"/>
      <c r="D75" s="1871"/>
      <c r="E75" s="1871"/>
      <c r="F75" s="1871"/>
      <c r="G75" s="1115"/>
      <c r="H75" s="1872"/>
      <c r="I75" s="1872"/>
      <c r="J75" s="1873"/>
      <c r="K75" s="1873"/>
      <c r="L75" s="1106"/>
      <c r="M75" s="1106"/>
      <c r="N75" s="1106"/>
    </row>
    <row r="76" spans="1:20" s="57" customFormat="1" x14ac:dyDescent="0.25">
      <c r="B76" s="1869"/>
      <c r="C76" s="1870"/>
      <c r="D76" s="1115"/>
      <c r="E76" s="1115"/>
      <c r="F76" s="1115"/>
      <c r="G76" s="1115"/>
      <c r="H76" s="1872"/>
      <c r="I76" s="1872"/>
      <c r="J76" s="1873"/>
      <c r="K76" s="1873"/>
      <c r="L76" s="1876"/>
      <c r="M76" s="1106"/>
      <c r="N76" s="1106"/>
    </row>
    <row r="77" spans="1:20" s="57" customFormat="1" x14ac:dyDescent="0.25">
      <c r="B77" s="1869"/>
      <c r="C77" s="1870"/>
      <c r="D77" s="1871"/>
      <c r="E77" s="1871"/>
      <c r="F77" s="1871"/>
      <c r="G77" s="1115"/>
      <c r="H77" s="1872"/>
      <c r="I77" s="1872"/>
      <c r="J77" s="1873"/>
      <c r="K77" s="1873"/>
      <c r="L77" s="1106"/>
      <c r="M77" s="1106"/>
      <c r="N77" s="1106"/>
    </row>
    <row r="78" spans="1:20" s="57" customFormat="1" x14ac:dyDescent="0.25">
      <c r="B78" s="1869"/>
      <c r="C78" s="1870"/>
      <c r="D78" s="1871"/>
      <c r="E78" s="1871"/>
      <c r="F78" s="1871"/>
      <c r="G78" s="1115"/>
      <c r="H78" s="1872"/>
      <c r="I78" s="1872"/>
      <c r="J78" s="1873"/>
      <c r="K78" s="1873"/>
      <c r="L78" s="1106"/>
      <c r="M78" s="1106"/>
      <c r="N78" s="1106"/>
    </row>
    <row r="79" spans="1:20" s="57" customFormat="1" ht="15.75" customHeight="1" x14ac:dyDescent="0.25">
      <c r="B79" s="1877"/>
      <c r="C79" s="1878"/>
      <c r="D79" s="1879"/>
      <c r="E79" s="1879"/>
      <c r="F79" s="1109"/>
      <c r="G79" s="1109"/>
      <c r="H79" s="1106"/>
      <c r="I79" s="1106"/>
      <c r="J79" s="1868"/>
      <c r="K79" s="1868"/>
      <c r="L79" s="1106"/>
      <c r="M79" s="1106"/>
      <c r="N79" s="1106"/>
    </row>
    <row r="80" spans="1:20" s="57" customFormat="1" ht="15.75" customHeight="1" x14ac:dyDescent="0.25">
      <c r="B80" s="1880"/>
      <c r="C80" s="1878"/>
      <c r="D80" s="1879"/>
      <c r="E80" s="1879"/>
      <c r="F80" s="1114"/>
      <c r="G80" s="1114"/>
      <c r="H80" s="1881"/>
      <c r="I80" s="1881"/>
      <c r="J80" s="1873"/>
      <c r="K80" s="1873"/>
      <c r="L80" s="1106"/>
      <c r="M80" s="1106"/>
      <c r="N80" s="1106"/>
    </row>
    <row r="81" spans="2:20" s="57" customFormat="1" ht="15.75" customHeight="1" x14ac:dyDescent="0.25">
      <c r="B81" s="1882"/>
      <c r="C81" s="58"/>
      <c r="D81" s="1881"/>
      <c r="E81" s="1881"/>
      <c r="F81" s="1881"/>
      <c r="G81" s="1881"/>
      <c r="H81" s="1881"/>
      <c r="I81" s="1881"/>
      <c r="J81" s="1868"/>
      <c r="K81" s="1868"/>
      <c r="L81" s="1106"/>
      <c r="M81" s="1106"/>
      <c r="N81" s="1106"/>
    </row>
    <row r="82" spans="2:20" s="57" customFormat="1" ht="15.75" customHeight="1" x14ac:dyDescent="0.25">
      <c r="B82" s="1882"/>
      <c r="C82" s="58"/>
      <c r="D82" s="1881"/>
      <c r="E82" s="1881"/>
      <c r="F82" s="1881"/>
      <c r="G82" s="1881"/>
      <c r="H82" s="1881"/>
      <c r="I82" s="1881"/>
      <c r="J82" s="1868"/>
      <c r="K82" s="1868"/>
      <c r="L82" s="1106"/>
      <c r="M82" s="1106"/>
      <c r="N82" s="1106"/>
    </row>
    <row r="83" spans="2:20" s="57" customFormat="1" ht="15.75" customHeight="1" x14ac:dyDescent="0.25">
      <c r="B83" s="1882"/>
      <c r="C83" s="58"/>
      <c r="D83" s="1881"/>
      <c r="E83" s="1881"/>
      <c r="F83" s="1881"/>
      <c r="G83" s="1881"/>
      <c r="H83" s="1881"/>
      <c r="I83" s="1881"/>
      <c r="J83" s="1868"/>
      <c r="K83" s="1868"/>
      <c r="L83" s="1106"/>
      <c r="M83" s="1106"/>
      <c r="N83" s="1106"/>
    </row>
    <row r="84" spans="2:20" s="57" customFormat="1" ht="15.75" customHeight="1" x14ac:dyDescent="0.25">
      <c r="B84" s="1836"/>
      <c r="D84" s="1106"/>
      <c r="E84" s="1106"/>
      <c r="F84" s="1881"/>
      <c r="G84" s="1881"/>
      <c r="H84" s="1881"/>
      <c r="I84" s="1881"/>
      <c r="J84" s="1868"/>
      <c r="K84" s="1868"/>
      <c r="L84" s="1106"/>
      <c r="M84" s="1106"/>
      <c r="N84" s="1106"/>
    </row>
    <row r="85" spans="2:20" s="57" customFormat="1" ht="15.75" customHeight="1" x14ac:dyDescent="0.25">
      <c r="B85" s="1836"/>
      <c r="D85" s="1106"/>
      <c r="E85" s="1106"/>
      <c r="F85" s="1881"/>
      <c r="G85" s="1881"/>
      <c r="H85" s="1881"/>
      <c r="I85" s="1881"/>
      <c r="J85" s="1868"/>
      <c r="K85" s="1868"/>
      <c r="L85" s="1106"/>
      <c r="M85" s="1106"/>
      <c r="N85" s="1106"/>
    </row>
    <row r="86" spans="2:20" s="57" customFormat="1" ht="15.75" customHeight="1" x14ac:dyDescent="0.25">
      <c r="B86" s="1882"/>
      <c r="C86" s="58"/>
      <c r="D86" s="1881"/>
      <c r="E86" s="1881"/>
      <c r="F86" s="1881"/>
      <c r="G86" s="1881"/>
      <c r="H86" s="1881"/>
      <c r="I86" s="1881"/>
      <c r="J86" s="1868"/>
      <c r="K86" s="1868"/>
      <c r="L86" s="1106"/>
      <c r="M86" s="1106"/>
      <c r="N86" s="1106"/>
    </row>
    <row r="87" spans="2:20" s="57" customFormat="1" ht="15.75" customHeight="1" x14ac:dyDescent="0.25">
      <c r="B87" s="1882"/>
      <c r="C87" s="58"/>
      <c r="D87" s="1881"/>
      <c r="E87" s="1881"/>
      <c r="F87" s="1881"/>
      <c r="G87" s="1881"/>
      <c r="H87" s="1881"/>
      <c r="I87" s="1881"/>
      <c r="J87" s="1868"/>
      <c r="K87" s="1868"/>
      <c r="L87" s="1106"/>
      <c r="M87" s="1106"/>
      <c r="N87" s="1106"/>
    </row>
    <row r="88" spans="2:20" s="57" customFormat="1" ht="15.75" customHeight="1" x14ac:dyDescent="0.25">
      <c r="B88" s="1882"/>
      <c r="C88" s="58"/>
      <c r="D88" s="1881"/>
      <c r="E88" s="1881"/>
      <c r="F88" s="1881"/>
      <c r="G88" s="1881"/>
      <c r="H88" s="1881"/>
      <c r="I88" s="1881"/>
      <c r="J88" s="1868"/>
      <c r="K88" s="1868"/>
      <c r="L88" s="1106"/>
      <c r="M88" s="1106"/>
      <c r="N88" s="1106"/>
    </row>
    <row r="89" spans="2:20" s="57" customFormat="1" ht="15.75" customHeight="1" x14ac:dyDescent="0.25">
      <c r="B89" s="1882"/>
      <c r="C89" s="58"/>
      <c r="D89" s="1881"/>
      <c r="E89" s="1881"/>
      <c r="F89" s="1881"/>
      <c r="G89" s="1881"/>
      <c r="H89" s="1881"/>
      <c r="I89" s="1881"/>
      <c r="J89" s="1868"/>
      <c r="K89" s="1868"/>
      <c r="L89" s="1106"/>
      <c r="M89" s="1106"/>
      <c r="N89" s="1106"/>
    </row>
    <row r="90" spans="2:20" s="57" customFormat="1" ht="15.75" customHeight="1" x14ac:dyDescent="0.25">
      <c r="B90" s="1882"/>
      <c r="C90" s="58"/>
      <c r="D90" s="1881"/>
      <c r="E90" s="1881"/>
      <c r="F90" s="1881"/>
      <c r="G90" s="1881"/>
      <c r="H90" s="1881"/>
      <c r="I90" s="1881"/>
      <c r="J90" s="1868"/>
      <c r="K90" s="1868"/>
      <c r="L90" s="1106"/>
      <c r="M90" s="1106"/>
      <c r="N90" s="1106"/>
    </row>
    <row r="91" spans="2:20" s="57" customFormat="1" ht="15.75" customHeight="1" x14ac:dyDescent="0.25">
      <c r="B91" s="1836"/>
      <c r="D91" s="1117"/>
      <c r="E91" s="58"/>
      <c r="F91" s="58"/>
      <c r="G91" s="58"/>
      <c r="H91" s="58"/>
      <c r="I91" s="58"/>
      <c r="J91" s="1868"/>
      <c r="K91" s="1868"/>
      <c r="L91" s="1106"/>
      <c r="M91" s="1106"/>
      <c r="N91" s="1106"/>
    </row>
    <row r="92" spans="2:20" s="1849" customFormat="1" x14ac:dyDescent="0.25">
      <c r="B92" s="1883"/>
      <c r="D92" s="2535"/>
      <c r="E92" s="2536"/>
      <c r="F92" s="2536"/>
      <c r="G92" s="2536"/>
      <c r="H92" s="58"/>
      <c r="I92" s="1884"/>
      <c r="J92" s="1868"/>
      <c r="K92" s="1868"/>
      <c r="L92" s="1106"/>
      <c r="M92" s="1106"/>
      <c r="N92" s="1106"/>
      <c r="O92" s="57"/>
      <c r="P92" s="57"/>
      <c r="Q92" s="57"/>
      <c r="R92" s="57"/>
      <c r="S92" s="57"/>
      <c r="T92" s="57"/>
    </row>
    <row r="93" spans="2:20" s="1849" customFormat="1" x14ac:dyDescent="0.25">
      <c r="B93" s="1885"/>
      <c r="C93" s="1870"/>
      <c r="D93" s="1875"/>
      <c r="E93" s="1875"/>
      <c r="F93" s="1875"/>
      <c r="G93" s="1875"/>
      <c r="H93" s="58"/>
      <c r="I93" s="1884"/>
      <c r="J93" s="1868"/>
      <c r="K93" s="1868"/>
      <c r="L93" s="1106"/>
      <c r="M93" s="1106"/>
      <c r="N93" s="1106"/>
      <c r="O93" s="57"/>
      <c r="P93" s="57"/>
      <c r="Q93" s="57"/>
      <c r="R93" s="57"/>
      <c r="S93" s="57"/>
      <c r="T93" s="57"/>
    </row>
    <row r="94" spans="2:20" s="1849" customFormat="1" x14ac:dyDescent="0.25">
      <c r="B94" s="1869"/>
      <c r="C94" s="1886"/>
      <c r="D94" s="2537"/>
      <c r="E94" s="2537"/>
      <c r="F94" s="2537"/>
      <c r="G94" s="2537"/>
      <c r="H94" s="1882"/>
      <c r="I94" s="1882"/>
      <c r="J94" s="1868"/>
      <c r="K94" s="1868"/>
      <c r="L94" s="1106"/>
      <c r="M94" s="1106"/>
      <c r="N94" s="1106"/>
      <c r="O94" s="57"/>
      <c r="P94" s="57"/>
      <c r="Q94" s="57"/>
      <c r="R94" s="57"/>
      <c r="S94" s="57"/>
      <c r="T94" s="57"/>
    </row>
    <row r="95" spans="2:20" s="1849" customFormat="1" x14ac:dyDescent="0.25">
      <c r="B95" s="1869"/>
      <c r="C95" s="1886"/>
      <c r="D95" s="2533"/>
      <c r="E95" s="2533"/>
      <c r="F95" s="2533"/>
      <c r="G95" s="2533"/>
      <c r="H95" s="1882"/>
      <c r="I95" s="1882"/>
      <c r="J95" s="1868"/>
      <c r="K95" s="1868"/>
      <c r="L95" s="1106"/>
      <c r="M95" s="1106"/>
      <c r="N95" s="1106"/>
      <c r="O95" s="57"/>
      <c r="P95" s="57"/>
      <c r="Q95" s="57"/>
      <c r="R95" s="57"/>
      <c r="S95" s="57"/>
      <c r="T95" s="57"/>
    </row>
    <row r="96" spans="2:20" s="1849" customFormat="1" x14ac:dyDescent="0.25">
      <c r="B96" s="1869"/>
      <c r="C96" s="1886"/>
      <c r="D96" s="2533"/>
      <c r="E96" s="2534"/>
      <c r="F96" s="2534"/>
      <c r="G96" s="2534"/>
      <c r="H96" s="1882"/>
      <c r="I96" s="1882"/>
      <c r="J96" s="1868"/>
      <c r="K96" s="1868"/>
      <c r="L96" s="1106"/>
      <c r="M96" s="1106"/>
      <c r="N96" s="1106"/>
      <c r="O96" s="57"/>
      <c r="P96" s="57"/>
      <c r="Q96" s="57"/>
      <c r="R96" s="57"/>
      <c r="S96" s="57"/>
      <c r="T96" s="57"/>
    </row>
    <row r="97" spans="2:20" s="1849" customFormat="1" x14ac:dyDescent="0.25">
      <c r="B97" s="1869"/>
      <c r="C97" s="1886"/>
      <c r="D97" s="1874"/>
      <c r="E97" s="1874"/>
      <c r="F97" s="1874"/>
      <c r="G97" s="1875"/>
      <c r="H97" s="1882"/>
      <c r="I97" s="1882"/>
      <c r="J97" s="1868"/>
      <c r="K97" s="1868"/>
      <c r="L97" s="1106"/>
      <c r="M97" s="1106"/>
      <c r="N97" s="1106"/>
      <c r="O97" s="57"/>
      <c r="P97" s="57"/>
      <c r="Q97" s="57"/>
      <c r="R97" s="57"/>
      <c r="S97" s="57"/>
      <c r="T97" s="57"/>
    </row>
    <row r="98" spans="2:20" s="1849" customFormat="1" x14ac:dyDescent="0.25">
      <c r="B98" s="1869"/>
      <c r="C98" s="1887"/>
      <c r="D98" s="1888"/>
      <c r="E98" s="1889"/>
      <c r="F98" s="1889"/>
      <c r="G98" s="1874"/>
      <c r="H98" s="1882"/>
      <c r="I98" s="1890"/>
      <c r="J98" s="1891"/>
      <c r="K98" s="1891"/>
      <c r="L98" s="1106"/>
      <c r="M98" s="1106"/>
      <c r="N98" s="1106"/>
      <c r="O98" s="57"/>
      <c r="P98" s="57"/>
      <c r="Q98" s="57"/>
      <c r="R98" s="57"/>
      <c r="S98" s="57"/>
      <c r="T98" s="57"/>
    </row>
    <row r="99" spans="2:20" s="1849" customFormat="1" x14ac:dyDescent="0.25">
      <c r="B99" s="1892"/>
      <c r="C99" s="1893"/>
      <c r="D99" s="1892"/>
      <c r="E99" s="1892"/>
      <c r="F99" s="1893"/>
      <c r="G99" s="1892"/>
      <c r="H99" s="1892"/>
      <c r="I99" s="1893"/>
      <c r="J99" s="1894"/>
      <c r="K99" s="1895"/>
      <c r="L99" s="1106"/>
      <c r="M99" s="1106"/>
      <c r="N99" s="1106"/>
      <c r="O99" s="57"/>
      <c r="P99" s="57"/>
      <c r="Q99" s="57"/>
      <c r="R99" s="57"/>
      <c r="S99" s="57"/>
      <c r="T99" s="57"/>
    </row>
    <row r="100" spans="2:20" s="1849" customFormat="1" x14ac:dyDescent="0.25">
      <c r="B100" s="1896"/>
      <c r="C100" s="1896"/>
      <c r="D100" s="1892"/>
      <c r="E100" s="1892"/>
      <c r="F100" s="1892"/>
      <c r="G100" s="1875"/>
      <c r="H100" s="1897"/>
      <c r="I100" s="1897"/>
      <c r="J100" s="1868"/>
      <c r="K100" s="1868"/>
      <c r="L100" s="1106"/>
      <c r="M100" s="1106"/>
      <c r="N100" s="1106"/>
      <c r="O100" s="57"/>
      <c r="P100" s="57"/>
      <c r="Q100" s="57"/>
      <c r="R100" s="57"/>
      <c r="S100" s="57"/>
      <c r="T100" s="57"/>
    </row>
    <row r="101" spans="2:20" s="57" customFormat="1" x14ac:dyDescent="0.25">
      <c r="B101" s="1836"/>
      <c r="D101" s="1106"/>
      <c r="E101" s="1106"/>
      <c r="F101" s="1106"/>
      <c r="G101" s="58"/>
      <c r="H101" s="1106"/>
      <c r="I101" s="1106"/>
      <c r="J101" s="1868"/>
      <c r="K101" s="1868"/>
      <c r="L101" s="1106"/>
      <c r="M101" s="1106"/>
      <c r="N101" s="1106"/>
    </row>
    <row r="102" spans="2:20" s="57" customFormat="1" x14ac:dyDescent="0.25">
      <c r="B102" s="1836"/>
      <c r="D102" s="1106"/>
      <c r="E102" s="1106"/>
      <c r="F102" s="1106"/>
      <c r="G102" s="58"/>
      <c r="H102" s="1106"/>
      <c r="I102" s="1106"/>
      <c r="J102" s="1868"/>
      <c r="K102" s="1868"/>
      <c r="L102" s="1106"/>
      <c r="M102" s="1106"/>
      <c r="N102" s="1106"/>
    </row>
    <row r="103" spans="2:20" s="57" customFormat="1" x14ac:dyDescent="0.25">
      <c r="B103" s="1836"/>
      <c r="D103" s="1106"/>
      <c r="E103" s="1106"/>
      <c r="F103" s="1106"/>
      <c r="G103" s="58"/>
      <c r="H103" s="1106"/>
      <c r="I103" s="1106"/>
      <c r="J103" s="1868"/>
      <c r="K103" s="1868"/>
      <c r="L103" s="1106"/>
      <c r="M103" s="1106"/>
      <c r="N103" s="1106"/>
    </row>
    <row r="104" spans="2:20" s="57" customFormat="1" x14ac:dyDescent="0.25">
      <c r="B104" s="1836"/>
      <c r="D104" s="1106"/>
      <c r="E104" s="1106"/>
      <c r="F104" s="1106"/>
      <c r="G104" s="58"/>
      <c r="H104" s="1106"/>
      <c r="I104" s="1106"/>
      <c r="J104" s="1868"/>
      <c r="K104" s="1868"/>
      <c r="L104" s="1106"/>
      <c r="M104" s="1106"/>
      <c r="N104" s="1106"/>
    </row>
    <row r="105" spans="2:20" s="57" customFormat="1" x14ac:dyDescent="0.25">
      <c r="B105" s="1836"/>
      <c r="D105" s="1106"/>
      <c r="E105" s="1106"/>
      <c r="F105" s="1106"/>
      <c r="G105" s="58"/>
      <c r="H105" s="1106"/>
      <c r="I105" s="1106"/>
      <c r="J105" s="1868"/>
      <c r="K105" s="1868"/>
      <c r="L105" s="1106"/>
      <c r="M105" s="1106"/>
      <c r="N105" s="1106"/>
    </row>
    <row r="106" spans="2:20" s="57" customFormat="1" x14ac:dyDescent="0.25">
      <c r="B106" s="1836"/>
      <c r="D106" s="1106"/>
      <c r="E106" s="1106"/>
      <c r="F106" s="1106"/>
      <c r="G106" s="58"/>
      <c r="H106" s="1106"/>
      <c r="I106" s="1106"/>
      <c r="J106" s="1868"/>
      <c r="K106" s="1868"/>
      <c r="L106" s="1106"/>
      <c r="M106" s="1106"/>
      <c r="N106" s="1106"/>
    </row>
    <row r="107" spans="2:20" s="57" customFormat="1" x14ac:dyDescent="0.25">
      <c r="B107" s="1836"/>
      <c r="D107" s="1106"/>
      <c r="E107" s="1106"/>
      <c r="F107" s="1106"/>
      <c r="G107" s="58"/>
      <c r="H107" s="1106"/>
      <c r="I107" s="1106"/>
      <c r="J107" s="1868"/>
      <c r="K107" s="1868"/>
      <c r="L107" s="1106"/>
      <c r="M107" s="1106"/>
      <c r="N107" s="1106"/>
    </row>
    <row r="108" spans="2:20" s="57" customFormat="1" x14ac:dyDescent="0.25">
      <c r="B108" s="1869"/>
      <c r="C108" s="1887"/>
      <c r="D108" s="1898"/>
      <c r="E108" s="1898"/>
      <c r="F108" s="1898"/>
      <c r="G108" s="1114"/>
      <c r="H108" s="1872"/>
      <c r="I108" s="1106"/>
      <c r="J108" s="1868"/>
      <c r="K108" s="1868"/>
      <c r="L108" s="1106"/>
      <c r="M108" s="1106"/>
      <c r="N108" s="1106"/>
    </row>
    <row r="109" spans="2:20" s="57" customFormat="1" x14ac:dyDescent="0.25">
      <c r="B109" s="1869"/>
      <c r="C109" s="1870"/>
      <c r="D109" s="1899"/>
      <c r="E109" s="1899"/>
      <c r="F109" s="1899"/>
      <c r="G109" s="1114"/>
      <c r="H109" s="1872"/>
      <c r="I109" s="1116"/>
      <c r="J109" s="1873"/>
      <c r="K109" s="1873"/>
      <c r="L109" s="1106"/>
      <c r="M109" s="1106"/>
      <c r="N109" s="1106"/>
    </row>
    <row r="110" spans="2:20" s="57" customFormat="1" x14ac:dyDescent="0.25">
      <c r="B110" s="1869"/>
      <c r="C110" s="1870"/>
      <c r="D110" s="1875"/>
      <c r="E110" s="1109"/>
      <c r="F110" s="1875"/>
      <c r="G110" s="1109"/>
      <c r="H110" s="58"/>
      <c r="I110" s="1106"/>
      <c r="J110" s="1868"/>
      <c r="K110" s="1868"/>
      <c r="L110" s="1106"/>
      <c r="M110" s="1106"/>
      <c r="N110" s="1106"/>
    </row>
    <row r="111" spans="2:20" s="57" customFormat="1" x14ac:dyDescent="0.25">
      <c r="B111" s="1869"/>
      <c r="C111" s="1870"/>
      <c r="D111" s="1900"/>
      <c r="E111" s="1899"/>
      <c r="F111" s="1899"/>
      <c r="G111" s="1114"/>
      <c r="H111" s="1901"/>
      <c r="I111" s="1901"/>
      <c r="J111" s="1873"/>
      <c r="K111" s="1873"/>
      <c r="L111" s="1106"/>
      <c r="M111" s="1106"/>
      <c r="N111" s="1106"/>
    </row>
    <row r="112" spans="2:20" s="57" customFormat="1" x14ac:dyDescent="0.25">
      <c r="B112" s="1869"/>
      <c r="C112" s="1870"/>
      <c r="D112" s="1902"/>
      <c r="E112" s="1871"/>
      <c r="F112" s="1871"/>
      <c r="G112" s="1115"/>
      <c r="H112" s="1903"/>
      <c r="I112" s="1903"/>
      <c r="J112" s="1873"/>
      <c r="K112" s="1873"/>
      <c r="L112" s="1106"/>
      <c r="M112" s="1106"/>
      <c r="N112" s="1106"/>
    </row>
    <row r="113" spans="2:20" s="57" customFormat="1" x14ac:dyDescent="0.25">
      <c r="B113" s="1869"/>
      <c r="C113" s="1870"/>
      <c r="D113" s="1902"/>
      <c r="E113" s="1871"/>
      <c r="F113" s="1871"/>
      <c r="G113" s="1115"/>
      <c r="H113" s="1903"/>
      <c r="I113" s="1903"/>
      <c r="J113" s="1873"/>
      <c r="K113" s="1873"/>
      <c r="L113" s="1106"/>
      <c r="M113" s="1106"/>
      <c r="N113" s="1106"/>
    </row>
    <row r="114" spans="2:20" s="57" customFormat="1" x14ac:dyDescent="0.25">
      <c r="B114" s="1869"/>
      <c r="C114" s="1870"/>
      <c r="D114" s="1902"/>
      <c r="E114" s="1871"/>
      <c r="F114" s="1871"/>
      <c r="G114" s="1115"/>
      <c r="H114" s="1903"/>
      <c r="I114" s="1903"/>
      <c r="J114" s="1873"/>
      <c r="K114" s="1873"/>
      <c r="L114" s="1106"/>
      <c r="M114" s="1106"/>
      <c r="N114" s="1106"/>
    </row>
    <row r="115" spans="2:20" s="57" customFormat="1" x14ac:dyDescent="0.25">
      <c r="B115" s="1869"/>
      <c r="C115" s="1870"/>
      <c r="D115" s="1902"/>
      <c r="E115" s="1871"/>
      <c r="F115" s="1871"/>
      <c r="G115" s="1115"/>
      <c r="H115" s="1903"/>
      <c r="I115" s="1903"/>
      <c r="J115" s="1873"/>
      <c r="K115" s="1873"/>
      <c r="L115" s="1106"/>
      <c r="M115" s="1106"/>
      <c r="N115" s="1106"/>
    </row>
    <row r="116" spans="2:20" s="57" customFormat="1" x14ac:dyDescent="0.25">
      <c r="B116" s="1869"/>
      <c r="C116" s="1870"/>
      <c r="D116" s="1902"/>
      <c r="E116" s="1871"/>
      <c r="F116" s="1871"/>
      <c r="G116" s="1115"/>
      <c r="H116" s="1903"/>
      <c r="I116" s="1903"/>
      <c r="J116" s="1873"/>
      <c r="K116" s="1873"/>
      <c r="L116" s="1106"/>
      <c r="M116" s="1106"/>
      <c r="N116" s="1106"/>
    </row>
    <row r="117" spans="2:20" s="57" customFormat="1" x14ac:dyDescent="0.25">
      <c r="B117" s="1869"/>
      <c r="C117" s="1870"/>
      <c r="D117" s="1902"/>
      <c r="E117" s="1871"/>
      <c r="F117" s="1871"/>
      <c r="G117" s="1115"/>
      <c r="H117" s="1903"/>
      <c r="I117" s="1903"/>
      <c r="J117" s="1873"/>
      <c r="K117" s="1873"/>
      <c r="L117" s="1106"/>
      <c r="M117" s="1106"/>
      <c r="N117" s="1106"/>
    </row>
    <row r="118" spans="2:20" s="57" customFormat="1" x14ac:dyDescent="0.25">
      <c r="B118" s="1869"/>
      <c r="C118" s="1870"/>
      <c r="D118" s="1902"/>
      <c r="E118" s="1871"/>
      <c r="F118" s="1871"/>
      <c r="G118" s="1115"/>
      <c r="H118" s="1903"/>
      <c r="I118" s="1903"/>
      <c r="J118" s="1873"/>
      <c r="K118" s="1873"/>
      <c r="L118" s="1106"/>
      <c r="M118" s="1106"/>
      <c r="N118" s="1106"/>
    </row>
    <row r="119" spans="2:20" s="57" customFormat="1" x14ac:dyDescent="0.25">
      <c r="B119" s="1869"/>
      <c r="C119" s="1870"/>
      <c r="D119" s="1902"/>
      <c r="E119" s="1871"/>
      <c r="F119" s="1871"/>
      <c r="G119" s="1115"/>
      <c r="H119" s="1903"/>
      <c r="I119" s="1903"/>
      <c r="J119" s="1873"/>
      <c r="K119" s="1873"/>
      <c r="L119" s="1106"/>
      <c r="M119" s="1106"/>
      <c r="N119" s="1106"/>
    </row>
    <row r="120" spans="2:20" s="57" customFormat="1" x14ac:dyDescent="0.25">
      <c r="B120" s="1869"/>
      <c r="C120" s="1870"/>
      <c r="D120" s="1902"/>
      <c r="E120" s="1871"/>
      <c r="F120" s="1871"/>
      <c r="G120" s="1115"/>
      <c r="H120" s="1903"/>
      <c r="I120" s="1903"/>
      <c r="J120" s="1873"/>
      <c r="K120" s="1873"/>
      <c r="L120" s="1106"/>
      <c r="M120" s="1106"/>
      <c r="N120" s="1106"/>
    </row>
    <row r="121" spans="2:20" s="57" customFormat="1" x14ac:dyDescent="0.25">
      <c r="B121" s="1869"/>
      <c r="C121" s="1870"/>
      <c r="D121" s="1902"/>
      <c r="E121" s="1871"/>
      <c r="F121" s="1871"/>
      <c r="G121" s="1115"/>
      <c r="H121" s="1903"/>
      <c r="I121" s="1903"/>
      <c r="J121" s="1873"/>
      <c r="K121" s="1873"/>
      <c r="L121" s="1106"/>
      <c r="M121" s="1106"/>
      <c r="N121" s="1106"/>
    </row>
    <row r="122" spans="2:20" s="57" customFormat="1" x14ac:dyDescent="0.25">
      <c r="B122" s="1869"/>
      <c r="C122" s="1870"/>
      <c r="D122" s="1902"/>
      <c r="E122" s="1871"/>
      <c r="F122" s="1871"/>
      <c r="G122" s="1115"/>
      <c r="H122" s="1903"/>
      <c r="I122" s="1903"/>
      <c r="J122" s="1873"/>
      <c r="K122" s="1873"/>
      <c r="L122" s="1106"/>
      <c r="M122" s="1106"/>
      <c r="N122" s="1106"/>
    </row>
    <row r="123" spans="2:20" s="57" customFormat="1" x14ac:dyDescent="0.25">
      <c r="B123" s="1869"/>
      <c r="C123" s="1870"/>
      <c r="D123" s="1875"/>
      <c r="E123" s="1109"/>
      <c r="F123" s="1875"/>
      <c r="G123" s="1109"/>
      <c r="H123" s="58"/>
      <c r="I123" s="1106"/>
      <c r="J123" s="1868"/>
      <c r="K123" s="1868"/>
      <c r="L123" s="1106"/>
      <c r="M123" s="1106"/>
      <c r="N123" s="1106"/>
    </row>
    <row r="124" spans="2:20" s="58" customFormat="1" x14ac:dyDescent="0.25">
      <c r="B124" s="1874"/>
      <c r="C124" s="1875"/>
      <c r="D124" s="1114"/>
      <c r="E124" s="1114"/>
      <c r="F124" s="1114"/>
      <c r="G124" s="1114"/>
      <c r="H124" s="1114"/>
      <c r="I124" s="1114"/>
      <c r="J124" s="1873"/>
      <c r="K124" s="1873"/>
      <c r="L124" s="1106"/>
      <c r="M124" s="1106"/>
      <c r="N124" s="1106"/>
      <c r="O124" s="57"/>
      <c r="P124" s="57"/>
      <c r="Q124" s="57"/>
      <c r="R124" s="57"/>
      <c r="S124" s="57"/>
      <c r="T124" s="57"/>
    </row>
    <row r="125" spans="2:20" s="57" customFormat="1" x14ac:dyDescent="0.25">
      <c r="B125" s="1869"/>
      <c r="C125" s="1870"/>
      <c r="D125" s="1875"/>
      <c r="E125" s="1109"/>
      <c r="F125" s="1875"/>
      <c r="G125" s="1109"/>
      <c r="H125" s="1875"/>
      <c r="I125" s="1109"/>
      <c r="J125" s="1868"/>
      <c r="K125" s="1868"/>
      <c r="L125" s="1106"/>
      <c r="M125" s="1106"/>
      <c r="N125" s="1106"/>
    </row>
    <row r="126" spans="2:20" s="58" customFormat="1" x14ac:dyDescent="0.25">
      <c r="B126" s="1874"/>
      <c r="C126" s="1875"/>
      <c r="D126" s="1114"/>
      <c r="E126" s="1114"/>
      <c r="F126" s="1114"/>
      <c r="G126" s="1114"/>
      <c r="H126" s="1114"/>
      <c r="I126" s="1114"/>
      <c r="J126" s="1873"/>
      <c r="K126" s="1873"/>
      <c r="L126" s="1106"/>
      <c r="M126" s="1106"/>
      <c r="N126" s="1106"/>
      <c r="O126" s="57"/>
      <c r="P126" s="57"/>
      <c r="Q126" s="57"/>
      <c r="R126" s="57"/>
      <c r="S126" s="57"/>
      <c r="T126" s="57"/>
    </row>
    <row r="127" spans="2:20" s="57" customFormat="1" x14ac:dyDescent="0.25">
      <c r="B127" s="1904"/>
      <c r="C127" s="1849"/>
      <c r="D127" s="58"/>
      <c r="E127" s="1106"/>
      <c r="F127" s="58"/>
      <c r="G127" s="1106"/>
      <c r="H127" s="58"/>
      <c r="I127" s="1106"/>
      <c r="J127" s="1868"/>
      <c r="K127" s="1868"/>
      <c r="L127" s="1106"/>
      <c r="M127" s="1106"/>
      <c r="N127" s="1106"/>
    </row>
    <row r="128" spans="2:20" s="57" customFormat="1" x14ac:dyDescent="0.25">
      <c r="B128" s="1904"/>
      <c r="C128" s="1849"/>
      <c r="D128" s="58"/>
      <c r="E128" s="1106"/>
      <c r="F128" s="58"/>
      <c r="G128" s="1106"/>
      <c r="H128" s="58"/>
      <c r="I128" s="1106"/>
      <c r="J128" s="1868"/>
      <c r="K128" s="1868"/>
      <c r="L128" s="1106"/>
      <c r="M128" s="1106"/>
      <c r="N128" s="1106"/>
    </row>
    <row r="129" spans="2:14" s="57" customFormat="1" x14ac:dyDescent="0.25">
      <c r="B129" s="1905"/>
      <c r="C129" s="1906"/>
      <c r="D129" s="58"/>
      <c r="E129" s="1106"/>
      <c r="F129" s="58"/>
      <c r="G129" s="1106"/>
      <c r="H129" s="58"/>
      <c r="I129" s="1106"/>
      <c r="J129" s="1868"/>
      <c r="K129" s="1868"/>
      <c r="L129" s="1106"/>
      <c r="M129" s="1106"/>
      <c r="N129" s="1106"/>
    </row>
    <row r="130" spans="2:14" s="57" customFormat="1" x14ac:dyDescent="0.25">
      <c r="B130" s="1904"/>
      <c r="C130" s="1849"/>
      <c r="D130" s="58"/>
      <c r="E130" s="1106"/>
      <c r="F130" s="58"/>
      <c r="G130" s="1106"/>
      <c r="H130" s="58"/>
      <c r="I130" s="1106"/>
      <c r="J130" s="1868"/>
      <c r="K130" s="1868"/>
      <c r="L130" s="1106"/>
      <c r="M130" s="1106"/>
      <c r="N130" s="1106"/>
    </row>
    <row r="131" spans="2:14" s="57" customFormat="1" x14ac:dyDescent="0.25">
      <c r="B131" s="1907"/>
      <c r="C131" s="1849"/>
      <c r="D131" s="58"/>
      <c r="E131" s="1106"/>
      <c r="F131" s="58"/>
      <c r="G131" s="1106"/>
      <c r="H131" s="58"/>
      <c r="I131" s="1106"/>
      <c r="J131" s="1868"/>
      <c r="K131" s="1868"/>
      <c r="L131" s="1106"/>
      <c r="M131" s="1106"/>
      <c r="N131" s="1106"/>
    </row>
    <row r="132" spans="2:14" s="57" customFormat="1" x14ac:dyDescent="0.25">
      <c r="B132" s="1904"/>
      <c r="C132" s="1849"/>
      <c r="D132" s="58"/>
      <c r="E132" s="1106"/>
      <c r="F132" s="58"/>
      <c r="G132" s="1106"/>
      <c r="H132" s="58"/>
      <c r="I132" s="1106"/>
      <c r="J132" s="1868"/>
      <c r="K132" s="1868"/>
      <c r="L132" s="1106"/>
      <c r="M132" s="1106"/>
      <c r="N132" s="1106"/>
    </row>
    <row r="133" spans="2:14" s="57" customFormat="1" x14ac:dyDescent="0.25">
      <c r="B133" s="1904"/>
      <c r="C133" s="1849"/>
      <c r="D133" s="58"/>
      <c r="E133" s="1106"/>
      <c r="F133" s="58"/>
      <c r="G133" s="1106"/>
      <c r="H133" s="58"/>
      <c r="I133" s="1106"/>
      <c r="J133" s="1868"/>
      <c r="K133" s="1868"/>
      <c r="L133" s="1106"/>
      <c r="M133" s="1106"/>
      <c r="N133" s="1106"/>
    </row>
    <row r="134" spans="2:14" s="57" customFormat="1" x14ac:dyDescent="0.25">
      <c r="B134" s="1836"/>
      <c r="D134" s="1106"/>
      <c r="E134" s="1106"/>
      <c r="F134" s="1106"/>
      <c r="G134" s="58"/>
      <c r="H134" s="1106"/>
      <c r="I134" s="1106"/>
      <c r="J134" s="1868"/>
      <c r="K134" s="1868"/>
      <c r="L134" s="1106"/>
      <c r="M134" s="1106"/>
      <c r="N134" s="1106"/>
    </row>
    <row r="135" spans="2:14" s="57" customFormat="1" x14ac:dyDescent="0.25">
      <c r="B135" s="1836"/>
      <c r="G135" s="1849"/>
      <c r="J135" s="1850"/>
      <c r="K135" s="1850"/>
    </row>
    <row r="136" spans="2:14" s="57" customFormat="1" x14ac:dyDescent="0.25">
      <c r="B136" s="1836"/>
      <c r="G136" s="1849"/>
      <c r="J136" s="1850"/>
      <c r="K136" s="1850"/>
    </row>
    <row r="137" spans="2:14" s="57" customFormat="1" x14ac:dyDescent="0.25">
      <c r="B137" s="1836"/>
      <c r="G137" s="1849"/>
      <c r="J137" s="1850"/>
      <c r="K137" s="1850"/>
    </row>
    <row r="138" spans="2:14" s="57" customFormat="1" x14ac:dyDescent="0.25">
      <c r="B138" s="1836"/>
      <c r="G138" s="1849"/>
      <c r="J138" s="1850"/>
      <c r="K138" s="1850"/>
    </row>
    <row r="139" spans="2:14" s="57" customFormat="1" x14ac:dyDescent="0.25">
      <c r="B139" s="1836"/>
      <c r="G139" s="1849"/>
      <c r="J139" s="1850"/>
      <c r="K139" s="1850"/>
    </row>
    <row r="140" spans="2:14" s="57" customFormat="1" x14ac:dyDescent="0.25">
      <c r="B140" s="1836"/>
      <c r="G140" s="1849"/>
      <c r="J140" s="1850"/>
      <c r="K140" s="1850"/>
    </row>
    <row r="141" spans="2:14" s="57" customFormat="1" x14ac:dyDescent="0.25">
      <c r="B141" s="1836"/>
      <c r="G141" s="1849"/>
      <c r="J141" s="1850"/>
      <c r="K141" s="1850"/>
    </row>
    <row r="142" spans="2:14" s="57" customFormat="1" x14ac:dyDescent="0.25">
      <c r="B142" s="1836"/>
      <c r="G142" s="1849"/>
      <c r="J142" s="1850"/>
      <c r="K142" s="1850"/>
    </row>
    <row r="143" spans="2:14" s="57" customFormat="1" x14ac:dyDescent="0.25">
      <c r="B143" s="1836"/>
      <c r="G143" s="1849"/>
      <c r="J143" s="1850"/>
      <c r="K143" s="1850"/>
    </row>
    <row r="144" spans="2:14" s="57" customFormat="1" x14ac:dyDescent="0.25">
      <c r="B144" s="1836"/>
      <c r="G144" s="1849"/>
      <c r="J144" s="1850"/>
      <c r="K144" s="1850"/>
    </row>
    <row r="145" spans="2:11" s="57" customFormat="1" x14ac:dyDescent="0.25">
      <c r="B145" s="1836"/>
      <c r="G145" s="1849"/>
      <c r="J145" s="1850"/>
      <c r="K145" s="1850"/>
    </row>
    <row r="146" spans="2:11" s="57" customFormat="1" x14ac:dyDescent="0.25">
      <c r="B146" s="1836"/>
      <c r="G146" s="1849"/>
      <c r="J146" s="1850"/>
      <c r="K146" s="1850"/>
    </row>
    <row r="147" spans="2:11" s="57" customFormat="1" x14ac:dyDescent="0.25">
      <c r="B147" s="1836"/>
      <c r="G147" s="1849"/>
      <c r="J147" s="1850"/>
      <c r="K147" s="1850"/>
    </row>
    <row r="148" spans="2:11" s="57" customFormat="1" x14ac:dyDescent="0.25">
      <c r="B148" s="1836"/>
      <c r="G148" s="1849"/>
      <c r="J148" s="1850"/>
      <c r="K148" s="1850"/>
    </row>
    <row r="149" spans="2:11" s="57" customFormat="1" x14ac:dyDescent="0.25">
      <c r="B149" s="1836"/>
      <c r="G149" s="1849"/>
      <c r="J149" s="1850"/>
      <c r="K149" s="1850"/>
    </row>
    <row r="150" spans="2:11" s="57" customFormat="1" x14ac:dyDescent="0.25">
      <c r="B150" s="1836"/>
      <c r="G150" s="1849"/>
      <c r="J150" s="1850"/>
      <c r="K150" s="1850"/>
    </row>
    <row r="151" spans="2:11" s="57" customFormat="1" x14ac:dyDescent="0.25">
      <c r="B151" s="1836"/>
      <c r="G151" s="1849"/>
      <c r="J151" s="1850"/>
      <c r="K151" s="1850"/>
    </row>
    <row r="152" spans="2:11" s="57" customFormat="1" x14ac:dyDescent="0.25">
      <c r="B152" s="1836"/>
      <c r="G152" s="1849"/>
      <c r="J152" s="1850"/>
      <c r="K152" s="1850"/>
    </row>
    <row r="153" spans="2:11" s="57" customFormat="1" x14ac:dyDescent="0.25">
      <c r="B153" s="1836"/>
      <c r="G153" s="1849"/>
      <c r="J153" s="1850"/>
      <c r="K153" s="1850"/>
    </row>
    <row r="154" spans="2:11" s="57" customFormat="1" x14ac:dyDescent="0.25">
      <c r="B154" s="1836"/>
      <c r="G154" s="1849"/>
      <c r="J154" s="1850"/>
      <c r="K154" s="1850"/>
    </row>
    <row r="155" spans="2:11" s="57" customFormat="1" x14ac:dyDescent="0.25">
      <c r="B155" s="1836"/>
      <c r="G155" s="1849"/>
      <c r="J155" s="1850"/>
      <c r="K155" s="1850"/>
    </row>
    <row r="156" spans="2:11" s="57" customFormat="1" x14ac:dyDescent="0.25">
      <c r="B156" s="1836"/>
      <c r="G156" s="1849"/>
      <c r="J156" s="1850"/>
      <c r="K156" s="1850"/>
    </row>
    <row r="157" spans="2:11" s="57" customFormat="1" x14ac:dyDescent="0.25">
      <c r="B157" s="1836"/>
      <c r="G157" s="1849"/>
      <c r="J157" s="1850"/>
      <c r="K157" s="1850"/>
    </row>
    <row r="158" spans="2:11" s="57" customFormat="1" x14ac:dyDescent="0.25">
      <c r="B158" s="1836"/>
      <c r="G158" s="1849"/>
      <c r="J158" s="1850"/>
      <c r="K158" s="1850"/>
    </row>
    <row r="159" spans="2:11" s="57" customFormat="1" x14ac:dyDescent="0.25">
      <c r="B159" s="1836"/>
      <c r="G159" s="1849"/>
      <c r="J159" s="1850"/>
      <c r="K159" s="1850"/>
    </row>
    <row r="160" spans="2:11" s="57" customFormat="1" x14ac:dyDescent="0.25">
      <c r="B160" s="1836"/>
      <c r="G160" s="1849"/>
      <c r="J160" s="1850"/>
      <c r="K160" s="1850"/>
    </row>
    <row r="161" spans="2:11" s="57" customFormat="1" x14ac:dyDescent="0.25">
      <c r="B161" s="1836"/>
      <c r="G161" s="1849"/>
      <c r="J161" s="1850"/>
      <c r="K161" s="1850"/>
    </row>
    <row r="162" spans="2:11" s="57" customFormat="1" x14ac:dyDescent="0.25">
      <c r="B162" s="1836"/>
      <c r="G162" s="1849"/>
      <c r="J162" s="1850"/>
      <c r="K162" s="1850"/>
    </row>
    <row r="163" spans="2:11" s="57" customFormat="1" x14ac:dyDescent="0.25">
      <c r="B163" s="1836"/>
      <c r="G163" s="1849"/>
      <c r="J163" s="1850"/>
      <c r="K163" s="1850"/>
    </row>
    <row r="164" spans="2:11" s="57" customFormat="1" x14ac:dyDescent="0.25">
      <c r="B164" s="1836"/>
      <c r="G164" s="1849"/>
      <c r="J164" s="1850"/>
      <c r="K164" s="1850"/>
    </row>
    <row r="165" spans="2:11" s="57" customFormat="1" x14ac:dyDescent="0.25">
      <c r="B165" s="1836"/>
      <c r="G165" s="1849"/>
      <c r="J165" s="1850"/>
      <c r="K165" s="1850"/>
    </row>
    <row r="166" spans="2:11" s="57" customFormat="1" x14ac:dyDescent="0.25">
      <c r="B166" s="1836"/>
      <c r="G166" s="1849"/>
      <c r="J166" s="1850"/>
      <c r="K166" s="1850"/>
    </row>
    <row r="167" spans="2:11" s="57" customFormat="1" x14ac:dyDescent="0.25">
      <c r="B167" s="1836"/>
      <c r="G167" s="1849"/>
      <c r="J167" s="1850"/>
      <c r="K167" s="1850"/>
    </row>
    <row r="168" spans="2:11" s="57" customFormat="1" x14ac:dyDescent="0.25">
      <c r="B168" s="1836"/>
      <c r="G168" s="1849"/>
      <c r="J168" s="1850"/>
      <c r="K168" s="1850"/>
    </row>
    <row r="169" spans="2:11" s="57" customFormat="1" x14ac:dyDescent="0.25">
      <c r="B169" s="1836"/>
      <c r="G169" s="1849"/>
      <c r="J169" s="1850"/>
      <c r="K169" s="1850"/>
    </row>
    <row r="170" spans="2:11" s="57" customFormat="1" x14ac:dyDescent="0.25">
      <c r="B170" s="1836"/>
      <c r="G170" s="1849"/>
      <c r="J170" s="1850"/>
      <c r="K170" s="1850"/>
    </row>
    <row r="171" spans="2:11" s="57" customFormat="1" x14ac:dyDescent="0.25">
      <c r="B171" s="1836"/>
      <c r="G171" s="1849"/>
      <c r="J171" s="1850"/>
      <c r="K171" s="1850"/>
    </row>
    <row r="172" spans="2:11" s="57" customFormat="1" x14ac:dyDescent="0.25">
      <c r="B172" s="1836"/>
      <c r="G172" s="1849"/>
      <c r="J172" s="1850"/>
      <c r="K172" s="1850"/>
    </row>
    <row r="173" spans="2:11" s="57" customFormat="1" x14ac:dyDescent="0.25">
      <c r="B173" s="1836"/>
      <c r="G173" s="1849"/>
      <c r="J173" s="1850"/>
      <c r="K173" s="1850"/>
    </row>
    <row r="174" spans="2:11" s="57" customFormat="1" x14ac:dyDescent="0.25">
      <c r="B174" s="1836"/>
      <c r="G174" s="1849"/>
      <c r="J174" s="1850"/>
      <c r="K174" s="1850"/>
    </row>
    <row r="175" spans="2:11" s="57" customFormat="1" x14ac:dyDescent="0.25">
      <c r="B175" s="1836"/>
      <c r="G175" s="1849"/>
      <c r="J175" s="1850"/>
      <c r="K175" s="1850"/>
    </row>
    <row r="176" spans="2:11" s="57" customFormat="1" x14ac:dyDescent="0.25">
      <c r="B176" s="1836"/>
      <c r="G176" s="1849"/>
      <c r="J176" s="1850"/>
      <c r="K176" s="1850"/>
    </row>
    <row r="177" spans="2:11" s="57" customFormat="1" x14ac:dyDescent="0.25">
      <c r="B177" s="1836"/>
      <c r="G177" s="1849"/>
      <c r="J177" s="1850"/>
      <c r="K177" s="1850"/>
    </row>
    <row r="178" spans="2:11" s="57" customFormat="1" x14ac:dyDescent="0.25">
      <c r="B178" s="1836"/>
      <c r="G178" s="1849"/>
      <c r="J178" s="1850"/>
      <c r="K178" s="1850"/>
    </row>
    <row r="179" spans="2:11" s="57" customFormat="1" x14ac:dyDescent="0.25">
      <c r="B179" s="1836"/>
      <c r="G179" s="1849"/>
      <c r="J179" s="1850"/>
      <c r="K179" s="1850"/>
    </row>
    <row r="180" spans="2:11" s="57" customFormat="1" x14ac:dyDescent="0.25">
      <c r="B180" s="1836"/>
      <c r="G180" s="1849"/>
      <c r="J180" s="1850"/>
      <c r="K180" s="1850"/>
    </row>
    <row r="181" spans="2:11" s="57" customFormat="1" x14ac:dyDescent="0.25">
      <c r="B181" s="1836"/>
      <c r="G181" s="1849"/>
      <c r="J181" s="1850"/>
      <c r="K181" s="1850"/>
    </row>
    <row r="182" spans="2:11" s="57" customFormat="1" x14ac:dyDescent="0.25">
      <c r="B182" s="1836"/>
      <c r="G182" s="1849"/>
      <c r="J182" s="1850"/>
      <c r="K182" s="1850"/>
    </row>
    <row r="183" spans="2:11" s="57" customFormat="1" x14ac:dyDescent="0.25">
      <c r="B183" s="1836"/>
      <c r="G183" s="1849"/>
      <c r="J183" s="1850"/>
      <c r="K183" s="1850"/>
    </row>
    <row r="184" spans="2:11" s="57" customFormat="1" x14ac:dyDescent="0.25">
      <c r="B184" s="1836"/>
      <c r="G184" s="1849"/>
      <c r="J184" s="1850"/>
      <c r="K184" s="1850"/>
    </row>
    <row r="185" spans="2:11" s="57" customFormat="1" x14ac:dyDescent="0.25">
      <c r="B185" s="1836"/>
      <c r="G185" s="1849"/>
      <c r="J185" s="1850"/>
      <c r="K185" s="1850"/>
    </row>
    <row r="186" spans="2:11" s="57" customFormat="1" x14ac:dyDescent="0.25">
      <c r="B186" s="1836"/>
      <c r="G186" s="1849"/>
      <c r="J186" s="1850"/>
      <c r="K186" s="1850"/>
    </row>
    <row r="187" spans="2:11" s="57" customFormat="1" x14ac:dyDescent="0.25">
      <c r="B187" s="1836"/>
      <c r="G187" s="1849"/>
      <c r="J187" s="1850"/>
      <c r="K187" s="1850"/>
    </row>
    <row r="188" spans="2:11" s="57" customFormat="1" x14ac:dyDescent="0.25">
      <c r="B188" s="1836"/>
      <c r="G188" s="1849"/>
      <c r="J188" s="1850"/>
      <c r="K188" s="1850"/>
    </row>
    <row r="189" spans="2:11" s="57" customFormat="1" x14ac:dyDescent="0.25">
      <c r="B189" s="1836"/>
      <c r="G189" s="1849"/>
      <c r="J189" s="1850"/>
      <c r="K189" s="1850"/>
    </row>
    <row r="190" spans="2:11" s="57" customFormat="1" x14ac:dyDescent="0.25">
      <c r="B190" s="1836"/>
      <c r="G190" s="1849"/>
      <c r="J190" s="1850"/>
      <c r="K190" s="1850"/>
    </row>
    <row r="191" spans="2:11" s="57" customFormat="1" x14ac:dyDescent="0.25">
      <c r="B191" s="1836"/>
      <c r="G191" s="1849"/>
      <c r="J191" s="1850"/>
      <c r="K191" s="1850"/>
    </row>
    <row r="192" spans="2:11" s="57" customFormat="1" x14ac:dyDescent="0.25">
      <c r="B192" s="1836"/>
      <c r="G192" s="1849"/>
      <c r="J192" s="1850"/>
      <c r="K192" s="1850"/>
    </row>
    <row r="193" spans="2:11" s="57" customFormat="1" x14ac:dyDescent="0.25">
      <c r="B193" s="1836"/>
      <c r="G193" s="1849"/>
      <c r="J193" s="1850"/>
      <c r="K193" s="1850"/>
    </row>
    <row r="194" spans="2:11" s="57" customFormat="1" x14ac:dyDescent="0.25">
      <c r="B194" s="1836"/>
      <c r="G194" s="1849"/>
      <c r="J194" s="1850"/>
      <c r="K194" s="1850"/>
    </row>
    <row r="195" spans="2:11" s="57" customFormat="1" x14ac:dyDescent="0.25">
      <c r="B195" s="1836"/>
      <c r="G195" s="1849"/>
      <c r="J195" s="1850"/>
      <c r="K195" s="1850"/>
    </row>
    <row r="196" spans="2:11" s="57" customFormat="1" x14ac:dyDescent="0.25">
      <c r="B196" s="1836"/>
      <c r="G196" s="1849"/>
      <c r="J196" s="1850"/>
      <c r="K196" s="1850"/>
    </row>
    <row r="197" spans="2:11" s="57" customFormat="1" x14ac:dyDescent="0.25">
      <c r="B197" s="1836"/>
      <c r="G197" s="1849"/>
      <c r="J197" s="1850"/>
      <c r="K197" s="1850"/>
    </row>
    <row r="198" spans="2:11" s="57" customFormat="1" x14ac:dyDescent="0.25">
      <c r="B198" s="1836"/>
      <c r="G198" s="1849"/>
      <c r="J198" s="1850"/>
      <c r="K198" s="1850"/>
    </row>
    <row r="199" spans="2:11" s="57" customFormat="1" x14ac:dyDescent="0.25">
      <c r="B199" s="1836"/>
      <c r="G199" s="1849"/>
      <c r="J199" s="1850"/>
      <c r="K199" s="1850"/>
    </row>
    <row r="200" spans="2:11" s="57" customFormat="1" x14ac:dyDescent="0.25">
      <c r="B200" s="1836"/>
      <c r="G200" s="1849"/>
      <c r="J200" s="1850"/>
      <c r="K200" s="1850"/>
    </row>
    <row r="201" spans="2:11" s="57" customFormat="1" x14ac:dyDescent="0.25">
      <c r="B201" s="1836"/>
      <c r="G201" s="1849"/>
      <c r="J201" s="1850"/>
      <c r="K201" s="1850"/>
    </row>
    <row r="202" spans="2:11" s="57" customFormat="1" x14ac:dyDescent="0.25">
      <c r="B202" s="1836"/>
      <c r="G202" s="1849"/>
      <c r="J202" s="1850"/>
      <c r="K202" s="1850"/>
    </row>
    <row r="203" spans="2:11" s="57" customFormat="1" x14ac:dyDescent="0.25">
      <c r="B203" s="1836"/>
      <c r="G203" s="1849"/>
      <c r="J203" s="1850"/>
      <c r="K203" s="1850"/>
    </row>
    <row r="204" spans="2:11" s="57" customFormat="1" x14ac:dyDescent="0.25">
      <c r="B204" s="1836"/>
      <c r="G204" s="1849"/>
      <c r="J204" s="1850"/>
      <c r="K204" s="1850"/>
    </row>
    <row r="205" spans="2:11" s="57" customFormat="1" x14ac:dyDescent="0.25">
      <c r="B205" s="1836"/>
      <c r="G205" s="1849"/>
      <c r="J205" s="1850"/>
      <c r="K205" s="1850"/>
    </row>
    <row r="206" spans="2:11" s="57" customFormat="1" x14ac:dyDescent="0.25">
      <c r="B206" s="1836"/>
      <c r="G206" s="1849"/>
      <c r="J206" s="1850"/>
      <c r="K206" s="1850"/>
    </row>
    <row r="207" spans="2:11" s="57" customFormat="1" x14ac:dyDescent="0.25">
      <c r="B207" s="1836"/>
      <c r="G207" s="1849"/>
      <c r="J207" s="1850"/>
      <c r="K207" s="1850"/>
    </row>
    <row r="208" spans="2:11" s="57" customFormat="1" x14ac:dyDescent="0.25">
      <c r="B208" s="1836"/>
      <c r="G208" s="1849"/>
      <c r="J208" s="1850"/>
      <c r="K208" s="1850"/>
    </row>
    <row r="209" spans="2:11" s="57" customFormat="1" x14ac:dyDescent="0.25">
      <c r="B209" s="1836"/>
      <c r="G209" s="1849"/>
      <c r="J209" s="1850"/>
      <c r="K209" s="1850"/>
    </row>
    <row r="210" spans="2:11" s="57" customFormat="1" x14ac:dyDescent="0.25">
      <c r="B210" s="1836"/>
      <c r="G210" s="1849"/>
      <c r="J210" s="1850"/>
      <c r="K210" s="1850"/>
    </row>
    <row r="211" spans="2:11" s="57" customFormat="1" x14ac:dyDescent="0.25">
      <c r="B211" s="1836"/>
      <c r="G211" s="1849"/>
      <c r="J211" s="1850"/>
      <c r="K211" s="1850"/>
    </row>
    <row r="212" spans="2:11" s="57" customFormat="1" x14ac:dyDescent="0.25">
      <c r="B212" s="1836"/>
      <c r="G212" s="1849"/>
      <c r="J212" s="1850"/>
      <c r="K212" s="1850"/>
    </row>
    <row r="213" spans="2:11" s="57" customFormat="1" x14ac:dyDescent="0.25">
      <c r="B213" s="1836"/>
      <c r="G213" s="1849"/>
      <c r="J213" s="1850"/>
      <c r="K213" s="1850"/>
    </row>
    <row r="214" spans="2:11" s="57" customFormat="1" x14ac:dyDescent="0.25">
      <c r="B214" s="1836"/>
      <c r="G214" s="1849"/>
      <c r="J214" s="1850"/>
      <c r="K214" s="1850"/>
    </row>
    <row r="215" spans="2:11" s="57" customFormat="1" x14ac:dyDescent="0.25">
      <c r="B215" s="1836"/>
      <c r="G215" s="1849"/>
      <c r="J215" s="1850"/>
      <c r="K215" s="1850"/>
    </row>
    <row r="216" spans="2:11" s="57" customFormat="1" x14ac:dyDescent="0.25">
      <c r="B216" s="1836"/>
      <c r="G216" s="1849"/>
      <c r="J216" s="1850"/>
      <c r="K216" s="1850"/>
    </row>
    <row r="217" spans="2:11" s="57" customFormat="1" x14ac:dyDescent="0.25">
      <c r="B217" s="1836"/>
      <c r="G217" s="1849"/>
      <c r="J217" s="1850"/>
      <c r="K217" s="1850"/>
    </row>
    <row r="218" spans="2:11" s="57" customFormat="1" x14ac:dyDescent="0.25">
      <c r="B218" s="1836"/>
      <c r="G218" s="1849"/>
      <c r="J218" s="1850"/>
      <c r="K218" s="1850"/>
    </row>
    <row r="219" spans="2:11" s="57" customFormat="1" x14ac:dyDescent="0.25">
      <c r="B219" s="1836"/>
      <c r="G219" s="1849"/>
      <c r="J219" s="1850"/>
      <c r="K219" s="1850"/>
    </row>
    <row r="220" spans="2:11" s="57" customFormat="1" x14ac:dyDescent="0.25">
      <c r="B220" s="1836"/>
      <c r="G220" s="1849"/>
      <c r="J220" s="1850"/>
      <c r="K220" s="1850"/>
    </row>
    <row r="221" spans="2:11" s="57" customFormat="1" x14ac:dyDescent="0.25">
      <c r="B221" s="1836"/>
      <c r="G221" s="1849"/>
      <c r="J221" s="1850"/>
      <c r="K221" s="1850"/>
    </row>
    <row r="222" spans="2:11" s="57" customFormat="1" x14ac:dyDescent="0.25">
      <c r="B222" s="1836"/>
      <c r="G222" s="1849"/>
      <c r="J222" s="1850"/>
      <c r="K222" s="1850"/>
    </row>
    <row r="223" spans="2:11" s="57" customFormat="1" x14ac:dyDescent="0.25">
      <c r="B223" s="1836"/>
      <c r="G223" s="1849"/>
      <c r="J223" s="1850"/>
      <c r="K223" s="1850"/>
    </row>
    <row r="224" spans="2:11" s="57" customFormat="1" x14ac:dyDescent="0.25">
      <c r="B224" s="1836"/>
      <c r="G224" s="1849"/>
      <c r="J224" s="1850"/>
      <c r="K224" s="1850"/>
    </row>
    <row r="225" spans="2:11" s="57" customFormat="1" x14ac:dyDescent="0.25">
      <c r="B225" s="1836"/>
      <c r="G225" s="1849"/>
      <c r="J225" s="1850"/>
      <c r="K225" s="1850"/>
    </row>
    <row r="226" spans="2:11" s="57" customFormat="1" x14ac:dyDescent="0.25">
      <c r="B226" s="1836"/>
      <c r="G226" s="1849"/>
      <c r="J226" s="1850"/>
      <c r="K226" s="1850"/>
    </row>
    <row r="227" spans="2:11" s="57" customFormat="1" x14ac:dyDescent="0.25">
      <c r="B227" s="1836"/>
      <c r="G227" s="1849"/>
      <c r="J227" s="1850"/>
      <c r="K227" s="1850"/>
    </row>
    <row r="228" spans="2:11" s="57" customFormat="1" x14ac:dyDescent="0.25">
      <c r="B228" s="1836"/>
      <c r="G228" s="1849"/>
      <c r="J228" s="1850"/>
      <c r="K228" s="1850"/>
    </row>
    <row r="229" spans="2:11" s="57" customFormat="1" x14ac:dyDescent="0.25">
      <c r="B229" s="1836"/>
      <c r="G229" s="1849"/>
      <c r="J229" s="1850"/>
      <c r="K229" s="1850"/>
    </row>
    <row r="230" spans="2:11" s="57" customFormat="1" x14ac:dyDescent="0.25">
      <c r="B230" s="1836"/>
      <c r="G230" s="1849"/>
      <c r="J230" s="1850"/>
      <c r="K230" s="1850"/>
    </row>
    <row r="231" spans="2:11" s="57" customFormat="1" x14ac:dyDescent="0.25">
      <c r="B231" s="1836"/>
      <c r="G231" s="1849"/>
      <c r="J231" s="1850"/>
      <c r="K231" s="1850"/>
    </row>
    <row r="232" spans="2:11" s="57" customFormat="1" x14ac:dyDescent="0.25">
      <c r="B232" s="1836"/>
      <c r="G232" s="1849"/>
      <c r="J232" s="1850"/>
      <c r="K232" s="1850"/>
    </row>
    <row r="233" spans="2:11" s="57" customFormat="1" x14ac:dyDescent="0.25">
      <c r="B233" s="1836"/>
      <c r="G233" s="1849"/>
      <c r="J233" s="1850"/>
      <c r="K233" s="1850"/>
    </row>
    <row r="234" spans="2:11" s="57" customFormat="1" x14ac:dyDescent="0.25">
      <c r="B234" s="1836"/>
      <c r="G234" s="1849"/>
      <c r="J234" s="1850"/>
      <c r="K234" s="1850"/>
    </row>
    <row r="235" spans="2:11" s="57" customFormat="1" x14ac:dyDescent="0.25">
      <c r="B235" s="1836"/>
      <c r="G235" s="1849"/>
      <c r="J235" s="1850"/>
      <c r="K235" s="1850"/>
    </row>
    <row r="236" spans="2:11" s="57" customFormat="1" x14ac:dyDescent="0.25">
      <c r="B236" s="1836"/>
      <c r="G236" s="1849"/>
      <c r="J236" s="1850"/>
      <c r="K236" s="1850"/>
    </row>
    <row r="237" spans="2:11" s="57" customFormat="1" x14ac:dyDescent="0.25">
      <c r="B237" s="1836"/>
      <c r="G237" s="1849"/>
      <c r="J237" s="1850"/>
      <c r="K237" s="1850"/>
    </row>
    <row r="238" spans="2:11" s="57" customFormat="1" x14ac:dyDescent="0.25">
      <c r="B238" s="1836"/>
      <c r="G238" s="1849"/>
      <c r="J238" s="1850"/>
      <c r="K238" s="1850"/>
    </row>
    <row r="239" spans="2:11" s="57" customFormat="1" x14ac:dyDescent="0.25">
      <c r="B239" s="1836"/>
      <c r="G239" s="1849"/>
      <c r="J239" s="1850"/>
      <c r="K239" s="1850"/>
    </row>
    <row r="240" spans="2:11" s="57" customFormat="1" x14ac:dyDescent="0.25">
      <c r="B240" s="1836"/>
      <c r="G240" s="1849"/>
      <c r="J240" s="1850"/>
      <c r="K240" s="1850"/>
    </row>
    <row r="241" spans="2:11" s="57" customFormat="1" x14ac:dyDescent="0.25">
      <c r="B241" s="1836"/>
      <c r="G241" s="1849"/>
      <c r="J241" s="1850"/>
      <c r="K241" s="1850"/>
    </row>
    <row r="242" spans="2:11" s="57" customFormat="1" x14ac:dyDescent="0.25">
      <c r="B242" s="1836"/>
      <c r="G242" s="1849"/>
      <c r="J242" s="1850"/>
      <c r="K242" s="1850"/>
    </row>
    <row r="243" spans="2:11" s="57" customFormat="1" x14ac:dyDescent="0.25">
      <c r="B243" s="1836"/>
      <c r="G243" s="1849"/>
      <c r="J243" s="1850"/>
      <c r="K243" s="1850"/>
    </row>
    <row r="244" spans="2:11" s="57" customFormat="1" x14ac:dyDescent="0.25">
      <c r="B244" s="1836"/>
      <c r="G244" s="1849"/>
      <c r="J244" s="1850"/>
      <c r="K244" s="1850"/>
    </row>
    <row r="245" spans="2:11" s="57" customFormat="1" x14ac:dyDescent="0.25">
      <c r="B245" s="1836"/>
      <c r="G245" s="1849"/>
      <c r="J245" s="1850"/>
      <c r="K245" s="1850"/>
    </row>
    <row r="246" spans="2:11" s="57" customFormat="1" x14ac:dyDescent="0.25">
      <c r="B246" s="1836"/>
      <c r="G246" s="1849"/>
      <c r="J246" s="1850"/>
      <c r="K246" s="1850"/>
    </row>
    <row r="247" spans="2:11" s="57" customFormat="1" x14ac:dyDescent="0.25">
      <c r="B247" s="1836"/>
      <c r="G247" s="1849"/>
      <c r="J247" s="1850"/>
      <c r="K247" s="1850"/>
    </row>
    <row r="248" spans="2:11" s="57" customFormat="1" x14ac:dyDescent="0.25">
      <c r="B248" s="1836"/>
      <c r="G248" s="1849"/>
      <c r="J248" s="1850"/>
      <c r="K248" s="1850"/>
    </row>
    <row r="249" spans="2:11" s="57" customFormat="1" x14ac:dyDescent="0.25">
      <c r="B249" s="1836"/>
      <c r="G249" s="1849"/>
      <c r="J249" s="1850"/>
      <c r="K249" s="1850"/>
    </row>
    <row r="250" spans="2:11" s="57" customFormat="1" x14ac:dyDescent="0.25">
      <c r="B250" s="1836"/>
      <c r="G250" s="1849"/>
      <c r="J250" s="1850"/>
      <c r="K250" s="1850"/>
    </row>
    <row r="251" spans="2:11" s="57" customFormat="1" x14ac:dyDescent="0.25">
      <c r="B251" s="1836"/>
      <c r="G251" s="1849"/>
      <c r="J251" s="1850"/>
      <c r="K251" s="1850"/>
    </row>
    <row r="252" spans="2:11" s="57" customFormat="1" x14ac:dyDescent="0.25">
      <c r="B252" s="1836"/>
      <c r="G252" s="1849"/>
      <c r="J252" s="1850"/>
      <c r="K252" s="1850"/>
    </row>
    <row r="253" spans="2:11" s="57" customFormat="1" x14ac:dyDescent="0.25">
      <c r="B253" s="1836"/>
      <c r="G253" s="1849"/>
      <c r="J253" s="1850"/>
      <c r="K253" s="1850"/>
    </row>
    <row r="254" spans="2:11" s="57" customFormat="1" x14ac:dyDescent="0.25">
      <c r="B254" s="1836"/>
      <c r="G254" s="1849"/>
      <c r="J254" s="1850"/>
      <c r="K254" s="1850"/>
    </row>
    <row r="255" spans="2:11" s="57" customFormat="1" x14ac:dyDescent="0.25">
      <c r="B255" s="1836"/>
      <c r="G255" s="1849"/>
      <c r="J255" s="1850"/>
      <c r="K255" s="1850"/>
    </row>
    <row r="256" spans="2:11" s="57" customFormat="1" x14ac:dyDescent="0.25">
      <c r="B256" s="1836"/>
      <c r="G256" s="1849"/>
      <c r="J256" s="1850"/>
      <c r="K256" s="1850"/>
    </row>
    <row r="257" spans="2:11" s="57" customFormat="1" x14ac:dyDescent="0.25">
      <c r="B257" s="1836"/>
      <c r="G257" s="1849"/>
      <c r="J257" s="1850"/>
      <c r="K257" s="1850"/>
    </row>
    <row r="258" spans="2:11" s="57" customFormat="1" x14ac:dyDescent="0.25">
      <c r="B258" s="1836"/>
      <c r="G258" s="1849"/>
      <c r="J258" s="1850"/>
      <c r="K258" s="1850"/>
    </row>
    <row r="259" spans="2:11" s="57" customFormat="1" x14ac:dyDescent="0.25">
      <c r="B259" s="1836"/>
      <c r="G259" s="1849"/>
      <c r="J259" s="1850"/>
      <c r="K259" s="1850"/>
    </row>
    <row r="260" spans="2:11" s="57" customFormat="1" x14ac:dyDescent="0.25">
      <c r="B260" s="1836"/>
      <c r="G260" s="1849"/>
      <c r="J260" s="1850"/>
      <c r="K260" s="1850"/>
    </row>
    <row r="261" spans="2:11" s="57" customFormat="1" x14ac:dyDescent="0.25">
      <c r="B261" s="1836"/>
      <c r="G261" s="1849"/>
      <c r="J261" s="1850"/>
      <c r="K261" s="1850"/>
    </row>
    <row r="262" spans="2:11" s="57" customFormat="1" x14ac:dyDescent="0.25">
      <c r="B262" s="1836"/>
      <c r="G262" s="1849"/>
      <c r="J262" s="1850"/>
      <c r="K262" s="1850"/>
    </row>
    <row r="263" spans="2:11" s="57" customFormat="1" x14ac:dyDescent="0.25">
      <c r="B263" s="1836"/>
      <c r="G263" s="1849"/>
      <c r="J263" s="1850"/>
      <c r="K263" s="1850"/>
    </row>
    <row r="264" spans="2:11" s="57" customFormat="1" x14ac:dyDescent="0.25">
      <c r="B264" s="1836"/>
      <c r="G264" s="1849"/>
      <c r="J264" s="1850"/>
      <c r="K264" s="1850"/>
    </row>
    <row r="265" spans="2:11" s="57" customFormat="1" x14ac:dyDescent="0.25">
      <c r="B265" s="1836"/>
      <c r="G265" s="1849"/>
      <c r="J265" s="1850"/>
      <c r="K265" s="1850"/>
    </row>
    <row r="266" spans="2:11" s="57" customFormat="1" x14ac:dyDescent="0.25">
      <c r="B266" s="1836"/>
      <c r="G266" s="1849"/>
      <c r="J266" s="1850"/>
      <c r="K266" s="1850"/>
    </row>
    <row r="267" spans="2:11" s="57" customFormat="1" x14ac:dyDescent="0.25">
      <c r="B267" s="1836"/>
      <c r="G267" s="1849"/>
      <c r="J267" s="1850"/>
      <c r="K267" s="1850"/>
    </row>
  </sheetData>
  <sheetProtection password="E593" sheet="1" objects="1" scenarios="1"/>
  <customSheetViews>
    <customSheetView guid="{B63065A1-7838-417A-8679-08A8A2B79CD8}" scale="85" showPageBreaks="1" showGridLines="0" printArea="1">
      <selection activeCell="K40" sqref="K40"/>
      <pageMargins left="0" right="0" top="0" bottom="0" header="0" footer="0"/>
      <printOptions horizontalCentered="1"/>
      <pageSetup scale="67" orientation="landscape" blackAndWhite="1" horizontalDpi="300" verticalDpi="300" r:id="rId1"/>
      <headerFooter alignWithMargins="0"/>
    </customSheetView>
  </customSheetViews>
  <mergeCells count="12">
    <mergeCell ref="C51:K62"/>
    <mergeCell ref="C6:K6"/>
    <mergeCell ref="C7:K7"/>
    <mergeCell ref="C8:K8"/>
    <mergeCell ref="D95:G95"/>
    <mergeCell ref="D96:G96"/>
    <mergeCell ref="D2:G2"/>
    <mergeCell ref="D4:G4"/>
    <mergeCell ref="D5:G5"/>
    <mergeCell ref="D92:G92"/>
    <mergeCell ref="D94:G94"/>
    <mergeCell ref="B49:L50"/>
  </mergeCells>
  <conditionalFormatting sqref="G14:G20 G24:G32">
    <cfRule type="expression" dxfId="15" priority="1" stopIfTrue="1">
      <formula>$G$11="Estimated"</formula>
    </cfRule>
  </conditionalFormatting>
  <dataValidations count="2">
    <dataValidation allowBlank="1" showInputMessage="1" showErrorMessage="1" prompt="The Test Year (TY) estimate should include a &quot;normalization&quot; for painting and rehab costs for towers/reservoirs.  Ensure detail is in the &quot;Notes&quot; for historical costs, est future costs, est yr costs will again be incurred.  Also reconcile to the TY est." sqref="AB19"/>
    <dataValidation allowBlank="1" showInputMessage="1" showErrorMessage="1" prompt="The Test Year (TY) estimate should include a &quot;normalization&quot; of the estimated rate case total costs; typically over a 3 to 5 year period.  Detail in the &quot;Notes&quot; the assumptions used to arrive at the TY estimate." sqref="AB29"/>
  </dataValidations>
  <hyperlinks>
    <hyperlink ref="J14:K20" location="Attach19!A1" tooltip="Click to open Notes" display="Attach19!A1"/>
    <hyperlink ref="J24:K32" location="Attach19!A1" tooltip="Click to open Notes" display="Attach19!A1"/>
  </hyperlinks>
  <printOptions horizontalCentered="1"/>
  <pageMargins left="0" right="0" top="0" bottom="0" header="0" footer="0"/>
  <pageSetup scale="67" orientation="landscape" blackAndWhite="1" r:id="rId2"/>
  <headerFooter alignWithMargins="0"/>
  <drawing r:id="rId3"/>
  <legacyDrawing r:id="rId4"/>
  <controls>
    <mc:AlternateContent xmlns:mc="http://schemas.openxmlformats.org/markup-compatibility/2006">
      <mc:Choice Requires="x14">
        <control shapeId="53253" r:id="rId5" name="Label1">
          <controlPr defaultSize="0" print="0" autoLine="0" autoPict="0" r:id="rId6">
            <anchor moveWithCells="1">
              <from>
                <xdr:col>12</xdr:col>
                <xdr:colOff>434340</xdr:colOff>
                <xdr:row>9</xdr:row>
                <xdr:rowOff>0</xdr:rowOff>
              </from>
              <to>
                <xdr:col>17</xdr:col>
                <xdr:colOff>411480</xdr:colOff>
                <xdr:row>13</xdr:row>
                <xdr:rowOff>167640</xdr:rowOff>
              </to>
            </anchor>
          </controlPr>
        </control>
      </mc:Choice>
      <mc:Fallback>
        <control shapeId="53253" r:id="rId5" name="Label1"/>
      </mc:Fallback>
    </mc:AlternateContent>
    <mc:AlternateContent xmlns:mc="http://schemas.openxmlformats.org/markup-compatibility/2006">
      <mc:Choice Requires="x14">
        <control shapeId="53250" r:id="rId7" name="Button 2">
          <controlPr defaultSize="0" print="0" autoFill="0" autoPict="0" macro="[0]!BackMain">
            <anchor moveWithCells="1" sizeWithCells="1">
              <from>
                <xdr:col>1</xdr:col>
                <xdr:colOff>7620</xdr:colOff>
                <xdr:row>2</xdr:row>
                <xdr:rowOff>0</xdr:rowOff>
              </from>
              <to>
                <xdr:col>2</xdr:col>
                <xdr:colOff>167640</xdr:colOff>
                <xdr:row>4</xdr:row>
                <xdr:rowOff>76200</xdr:rowOff>
              </to>
            </anchor>
          </controlPr>
        </control>
      </mc:Choice>
    </mc:AlternateContent>
    <mc:AlternateContent xmlns:mc="http://schemas.openxmlformats.org/markup-compatibility/2006">
      <mc:Choice Requires="x14">
        <control shapeId="53251" r:id="rId8" name="Button 3">
          <controlPr defaultSize="0" print="0" autoFill="0" autoPict="0" macro="[0]!Attach_10">
            <anchor moveWithCells="1" sizeWithCells="1">
              <from>
                <xdr:col>2</xdr:col>
                <xdr:colOff>419100</xdr:colOff>
                <xdr:row>2</xdr:row>
                <xdr:rowOff>7620</xdr:rowOff>
              </from>
              <to>
                <xdr:col>2</xdr:col>
                <xdr:colOff>1280160</xdr:colOff>
                <xdr:row>4</xdr:row>
                <xdr:rowOff>99060</xdr:rowOff>
              </to>
            </anchor>
          </controlPr>
        </control>
      </mc:Choice>
    </mc:AlternateContent>
    <mc:AlternateContent xmlns:mc="http://schemas.openxmlformats.org/markup-compatibility/2006">
      <mc:Choice Requires="x14">
        <control shapeId="53254" r:id="rId9" name="Button 6">
          <controlPr defaultSize="0" print="0" autoFill="0" autoPict="0" macro="[0]!PrintAttach10">
            <anchor moveWithCells="1" sizeWithCells="1">
              <from>
                <xdr:col>9</xdr:col>
                <xdr:colOff>784860</xdr:colOff>
                <xdr:row>2</xdr:row>
                <xdr:rowOff>22860</xdr:rowOff>
              </from>
              <to>
                <xdr:col>12</xdr:col>
                <xdr:colOff>30480</xdr:colOff>
                <xdr:row>4</xdr:row>
                <xdr:rowOff>76200</xdr:rowOff>
              </to>
            </anchor>
          </controlPr>
        </control>
      </mc:Choice>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92D050"/>
    <pageSetUpPr fitToPage="1"/>
  </sheetPr>
  <dimension ref="A1:S657"/>
  <sheetViews>
    <sheetView showGridLines="0" topLeftCell="A26" zoomScaleNormal="100" workbookViewId="0">
      <selection activeCell="C100" sqref="C100:N111"/>
    </sheetView>
  </sheetViews>
  <sheetFormatPr defaultRowHeight="13.2" x14ac:dyDescent="0.25"/>
  <cols>
    <col min="1" max="1" width="8.88671875" style="28"/>
    <col min="2" max="2" width="8.6640625" style="52" customWidth="1"/>
    <col min="3" max="3" width="36.109375" style="28" customWidth="1"/>
    <col min="4" max="4" width="14.6640625" style="28" customWidth="1"/>
    <col min="5" max="5" width="13.88671875" style="28" customWidth="1"/>
    <col min="6" max="7" width="13.6640625" style="28" customWidth="1"/>
    <col min="8" max="8" width="15.6640625" style="27" customWidth="1"/>
    <col min="9" max="10" width="14.88671875" style="27" customWidth="1"/>
    <col min="11" max="11" width="15.6640625" style="28" customWidth="1"/>
    <col min="12" max="12" width="13.33203125" style="28" customWidth="1"/>
    <col min="13" max="13" width="14.6640625" style="27" customWidth="1"/>
    <col min="14" max="14" width="14.33203125" style="28" customWidth="1"/>
    <col min="15" max="16" width="8.88671875" style="28"/>
    <col min="17" max="19" width="8.88671875" style="1708"/>
    <col min="20" max="16384" width="8.88671875" style="28"/>
  </cols>
  <sheetData>
    <row r="1" spans="1:16" x14ac:dyDescent="0.25">
      <c r="A1" s="78"/>
      <c r="B1" s="518" t="str">
        <f>TestYear &amp; " Test Year"</f>
        <v>2023 Test Year</v>
      </c>
      <c r="C1" s="475"/>
      <c r="D1" s="475"/>
      <c r="E1" s="475"/>
      <c r="F1" s="475"/>
      <c r="G1" s="475"/>
      <c r="H1" s="475"/>
      <c r="I1" s="475"/>
      <c r="J1" s="475"/>
      <c r="K1" s="475"/>
      <c r="L1" s="475"/>
      <c r="M1" s="475"/>
      <c r="N1" s="78"/>
      <c r="O1" s="769" t="s">
        <v>488</v>
      </c>
      <c r="P1" s="78"/>
    </row>
    <row r="2" spans="1:16" x14ac:dyDescent="0.25">
      <c r="A2" s="78"/>
      <c r="B2" s="610"/>
      <c r="C2" s="475"/>
      <c r="D2" s="2562" t="str">
        <f>Utility</f>
        <v>Cleveland Water Utility</v>
      </c>
      <c r="E2" s="2563"/>
      <c r="F2" s="2563"/>
      <c r="G2" s="2563"/>
      <c r="H2" s="2563"/>
      <c r="I2" s="2563"/>
      <c r="J2" s="2563"/>
      <c r="K2" s="2563"/>
      <c r="L2" s="2563"/>
      <c r="M2" s="475"/>
      <c r="N2" s="78"/>
      <c r="O2" s="769" t="s">
        <v>440</v>
      </c>
      <c r="P2" s="78"/>
    </row>
    <row r="3" spans="1:16" ht="10.95" customHeight="1" x14ac:dyDescent="0.25">
      <c r="A3" s="78"/>
      <c r="B3" s="610"/>
      <c r="C3" s="610"/>
      <c r="D3" s="475"/>
      <c r="E3" s="475"/>
      <c r="F3" s="475"/>
      <c r="G3" s="475"/>
      <c r="H3" s="475"/>
      <c r="I3" s="475"/>
      <c r="J3" s="475"/>
      <c r="K3" s="610"/>
      <c r="L3" s="610"/>
      <c r="M3" s="610"/>
      <c r="N3" s="610"/>
      <c r="O3" s="78"/>
      <c r="P3" s="78"/>
    </row>
    <row r="4" spans="1:16" x14ac:dyDescent="0.25">
      <c r="A4" s="78"/>
      <c r="B4" s="610"/>
      <c r="C4" s="475"/>
      <c r="D4" s="2564" t="s">
        <v>489</v>
      </c>
      <c r="E4" s="2564"/>
      <c r="F4" s="2564"/>
      <c r="G4" s="2564"/>
      <c r="H4" s="2564"/>
      <c r="I4" s="2564"/>
      <c r="J4" s="2564"/>
      <c r="K4" s="2564"/>
      <c r="L4" s="2564"/>
      <c r="M4" s="475"/>
      <c r="N4" s="475"/>
      <c r="O4" s="78"/>
      <c r="P4" s="78"/>
    </row>
    <row r="5" spans="1:16" x14ac:dyDescent="0.25">
      <c r="A5" s="78"/>
      <c r="B5" s="770"/>
      <c r="C5" s="475" t="s">
        <v>442</v>
      </c>
      <c r="D5" s="2564" t="str">
        <f>"Estimated for Test Year "&amp; TestYear</f>
        <v>Estimated for Test Year 2023</v>
      </c>
      <c r="E5" s="2565"/>
      <c r="F5" s="2565"/>
      <c r="G5" s="2565"/>
      <c r="H5" s="2565"/>
      <c r="I5" s="2565"/>
      <c r="J5" s="2565"/>
      <c r="K5" s="2565"/>
      <c r="L5" s="2565"/>
      <c r="M5" s="770"/>
      <c r="N5" s="770"/>
      <c r="O5" s="78"/>
      <c r="P5" s="78"/>
    </row>
    <row r="6" spans="1:16" ht="13.8" thickBot="1" x14ac:dyDescent="0.3">
      <c r="A6" s="78"/>
      <c r="B6" s="610"/>
      <c r="C6" s="475"/>
      <c r="D6" s="2566" t="s">
        <v>490</v>
      </c>
      <c r="E6" s="2567"/>
      <c r="F6" s="2567"/>
      <c r="G6" s="2567"/>
      <c r="H6" s="2567"/>
      <c r="I6" s="2567"/>
      <c r="J6" s="2567"/>
      <c r="K6" s="2567"/>
      <c r="L6" s="2567"/>
      <c r="M6" s="475"/>
      <c r="N6" s="475"/>
      <c r="O6" s="78"/>
      <c r="P6" s="78"/>
    </row>
    <row r="7" spans="1:16" ht="13.8" thickTop="1" x14ac:dyDescent="0.25">
      <c r="A7" s="78"/>
      <c r="B7" s="796"/>
      <c r="C7" s="495"/>
      <c r="D7" s="1683"/>
      <c r="E7" s="1695"/>
      <c r="F7" s="1696"/>
      <c r="G7" s="1680"/>
      <c r="H7" s="724"/>
      <c r="I7" s="2568"/>
      <c r="J7" s="2541"/>
      <c r="K7" s="2541"/>
      <c r="L7" s="2541"/>
      <c r="M7" s="1684"/>
      <c r="N7" s="724"/>
      <c r="O7" s="226"/>
      <c r="P7" s="78"/>
    </row>
    <row r="8" spans="1:16" x14ac:dyDescent="0.25">
      <c r="A8" s="78"/>
      <c r="B8" s="506"/>
      <c r="C8" s="481" t="s">
        <v>1345</v>
      </c>
      <c r="D8" s="776"/>
      <c r="E8" s="1707"/>
      <c r="F8" s="1697"/>
      <c r="G8" s="1697"/>
      <c r="H8" s="1698"/>
      <c r="I8" s="1698"/>
      <c r="J8" s="1701"/>
      <c r="K8" s="1701"/>
      <c r="L8" s="1701"/>
      <c r="M8" s="591"/>
      <c r="N8" s="1698"/>
      <c r="O8" s="228"/>
      <c r="P8" s="78"/>
    </row>
    <row r="9" spans="1:16" x14ac:dyDescent="0.25">
      <c r="A9" s="78"/>
      <c r="B9" s="504"/>
      <c r="C9" s="481" t="s">
        <v>1231</v>
      </c>
      <c r="D9" s="776"/>
      <c r="E9" s="1707"/>
      <c r="F9" s="1697"/>
      <c r="G9" s="1697"/>
      <c r="H9" s="1698"/>
      <c r="I9" s="1698"/>
      <c r="J9" s="1701"/>
      <c r="K9" s="1701"/>
      <c r="L9" s="1701"/>
      <c r="M9" s="591"/>
      <c r="N9" s="1698"/>
      <c r="O9" s="228"/>
      <c r="P9" s="78"/>
    </row>
    <row r="10" spans="1:16" x14ac:dyDescent="0.25">
      <c r="A10" s="78"/>
      <c r="B10" s="506"/>
      <c r="C10" s="481" t="s">
        <v>1346</v>
      </c>
      <c r="D10" s="776"/>
      <c r="E10" s="1707"/>
      <c r="F10" s="1697"/>
      <c r="G10" s="1697"/>
      <c r="H10" s="1698"/>
      <c r="I10" s="1698"/>
      <c r="J10" s="1701"/>
      <c r="K10" s="1701"/>
      <c r="L10" s="1701"/>
      <c r="M10" s="591"/>
      <c r="N10" s="1698"/>
      <c r="O10" s="228"/>
      <c r="P10" s="78"/>
    </row>
    <row r="11" spans="1:16" ht="15.75" customHeight="1" x14ac:dyDescent="0.25">
      <c r="A11" s="78"/>
      <c r="B11" s="792"/>
      <c r="C11" s="978"/>
      <c r="D11" s="776"/>
      <c r="E11" s="1707"/>
      <c r="F11" s="1697"/>
      <c r="G11" s="1697"/>
      <c r="H11" s="1698"/>
      <c r="I11" s="1698"/>
      <c r="J11" s="1701"/>
      <c r="K11" s="1701"/>
      <c r="L11" s="1701"/>
      <c r="M11" s="591"/>
      <c r="N11" s="1698"/>
      <c r="O11" s="228"/>
      <c r="P11" s="78"/>
    </row>
    <row r="12" spans="1:16" ht="15.75" customHeight="1" x14ac:dyDescent="0.25">
      <c r="A12" s="78"/>
      <c r="B12" s="792"/>
      <c r="C12" s="978"/>
      <c r="D12" s="776" t="s">
        <v>8</v>
      </c>
      <c r="E12" s="1707"/>
      <c r="F12" s="1697"/>
      <c r="G12" s="1697"/>
      <c r="H12" s="1698" t="s">
        <v>492</v>
      </c>
      <c r="I12" s="2561" t="str">
        <f>CONCATENATE("Estimate ",TestYear)</f>
        <v>Estimate 2023</v>
      </c>
      <c r="J12" s="2561"/>
      <c r="K12" s="2561"/>
      <c r="L12" s="2561"/>
      <c r="M12" s="1698" t="s">
        <v>492</v>
      </c>
      <c r="N12" s="1698" t="s">
        <v>313</v>
      </c>
      <c r="O12" s="228"/>
      <c r="P12" s="78"/>
    </row>
    <row r="13" spans="1:16" x14ac:dyDescent="0.25">
      <c r="A13" s="78"/>
      <c r="B13" s="792" t="s">
        <v>443</v>
      </c>
      <c r="C13" s="519" t="s">
        <v>493</v>
      </c>
      <c r="D13" s="776" t="s">
        <v>494</v>
      </c>
      <c r="E13" s="2540" t="str">
        <f>CONCATENATE(Data!H7, " ",TestYear-1)</f>
        <v xml:space="preserve"> 2022</v>
      </c>
      <c r="F13" s="2540"/>
      <c r="G13" s="1679"/>
      <c r="H13" s="1698" t="s">
        <v>494</v>
      </c>
      <c r="I13" s="2551" t="s">
        <v>495</v>
      </c>
      <c r="J13" s="2551"/>
      <c r="K13" s="2551" t="s">
        <v>496</v>
      </c>
      <c r="L13" s="2551"/>
      <c r="M13" s="1698" t="s">
        <v>494</v>
      </c>
      <c r="N13" s="1698" t="s">
        <v>175</v>
      </c>
      <c r="O13" s="228"/>
      <c r="P13" s="78"/>
    </row>
    <row r="14" spans="1:16" x14ac:dyDescent="0.25">
      <c r="A14" s="78"/>
      <c r="B14" s="792" t="s">
        <v>444</v>
      </c>
      <c r="C14" s="592" t="s">
        <v>491</v>
      </c>
      <c r="D14" s="591" t="str">
        <f>"12/31/"&amp;TEXT(TestYear-2,0)</f>
        <v>12/31/2021</v>
      </c>
      <c r="E14" s="652" t="s">
        <v>497</v>
      </c>
      <c r="F14" s="653" t="s">
        <v>498</v>
      </c>
      <c r="G14" s="652" t="s">
        <v>499</v>
      </c>
      <c r="H14" s="1698" t="str">
        <f>"12/31/"&amp;TEXT(TestYear-1,0)</f>
        <v>12/31/2022</v>
      </c>
      <c r="I14" s="1700" t="s">
        <v>497</v>
      </c>
      <c r="J14" s="1700" t="s">
        <v>498</v>
      </c>
      <c r="K14" s="1700" t="s">
        <v>497</v>
      </c>
      <c r="L14" s="1700" t="s">
        <v>498</v>
      </c>
      <c r="M14" s="1698" t="str">
        <f>"12/31/"&amp;TEXT(TestYear,0)</f>
        <v>12/31/2023</v>
      </c>
      <c r="N14" s="1698" t="s">
        <v>500</v>
      </c>
      <c r="O14" s="228"/>
      <c r="P14" s="78"/>
    </row>
    <row r="15" spans="1:16" x14ac:dyDescent="0.25">
      <c r="A15" s="78"/>
      <c r="B15" s="793" t="s">
        <v>445</v>
      </c>
      <c r="C15" s="772"/>
      <c r="D15" s="479" t="s">
        <v>446</v>
      </c>
      <c r="E15" s="773" t="s">
        <v>501</v>
      </c>
      <c r="F15" s="773" t="s">
        <v>502</v>
      </c>
      <c r="G15" s="773"/>
      <c r="H15" s="774" t="s">
        <v>446</v>
      </c>
      <c r="I15" s="773" t="s">
        <v>501</v>
      </c>
      <c r="J15" s="773" t="s">
        <v>502</v>
      </c>
      <c r="K15" s="773" t="s">
        <v>501</v>
      </c>
      <c r="L15" s="773" t="s">
        <v>502</v>
      </c>
      <c r="M15" s="774" t="s">
        <v>446</v>
      </c>
      <c r="N15" s="775"/>
      <c r="O15" s="228"/>
      <c r="P15" s="78"/>
    </row>
    <row r="16" spans="1:16" x14ac:dyDescent="0.25">
      <c r="A16" s="78"/>
      <c r="B16" s="504"/>
      <c r="C16" s="536" t="s">
        <v>503</v>
      </c>
      <c r="D16" s="477"/>
      <c r="E16" s="477"/>
      <c r="F16" s="477"/>
      <c r="G16" s="477"/>
      <c r="H16" s="477"/>
      <c r="I16" s="477"/>
      <c r="J16" s="477"/>
      <c r="K16" s="477"/>
      <c r="L16" s="477"/>
      <c r="M16" s="477"/>
      <c r="N16" s="477"/>
      <c r="O16" s="228"/>
      <c r="P16" s="78"/>
    </row>
    <row r="17" spans="1:16" x14ac:dyDescent="0.25">
      <c r="A17" s="78"/>
      <c r="B17" s="506">
        <v>301</v>
      </c>
      <c r="C17" s="477" t="s">
        <v>504</v>
      </c>
      <c r="D17" s="688">
        <f>Data!B115</f>
        <v>250</v>
      </c>
      <c r="E17" s="538">
        <f>Data!D115</f>
        <v>0</v>
      </c>
      <c r="F17" s="538">
        <f>Data!E115</f>
        <v>0</v>
      </c>
      <c r="G17" s="689">
        <v>0</v>
      </c>
      <c r="H17" s="688">
        <f>ROUND(D17+E17-F17+G17,0)</f>
        <v>250</v>
      </c>
      <c r="I17" s="936">
        <v>0</v>
      </c>
      <c r="J17" s="936">
        <v>0</v>
      </c>
      <c r="K17" s="936">
        <v>0</v>
      </c>
      <c r="L17" s="936">
        <v>0</v>
      </c>
      <c r="M17" s="688">
        <f>H17+I17-J17+K17-L17</f>
        <v>250</v>
      </c>
      <c r="N17" s="688">
        <f>ROUND(H17+I17-J17+(K17*0.5)-(L17*0.5),0)</f>
        <v>250</v>
      </c>
      <c r="O17" s="228"/>
      <c r="P17" s="78"/>
    </row>
    <row r="18" spans="1:16" x14ac:dyDescent="0.25">
      <c r="A18" s="78"/>
      <c r="B18" s="506">
        <v>302</v>
      </c>
      <c r="C18" s="477" t="s">
        <v>505</v>
      </c>
      <c r="D18" s="478">
        <f>Data!B116</f>
        <v>0</v>
      </c>
      <c r="E18" s="480">
        <f>Data!D116</f>
        <v>0</v>
      </c>
      <c r="F18" s="538">
        <f>Data!E116</f>
        <v>0</v>
      </c>
      <c r="G18" s="476">
        <v>0</v>
      </c>
      <c r="H18" s="478">
        <f>ROUND(D18+E18-F18+G18,0)</f>
        <v>0</v>
      </c>
      <c r="I18" s="937">
        <v>0</v>
      </c>
      <c r="J18" s="937">
        <v>0</v>
      </c>
      <c r="K18" s="937">
        <v>0</v>
      </c>
      <c r="L18" s="937">
        <v>0</v>
      </c>
      <c r="M18" s="478">
        <f>H18+I18-J18+K18-L18</f>
        <v>0</v>
      </c>
      <c r="N18" s="478">
        <f>ROUND(H18+I18-J18+(K18*0.5)-(L18*0.5),0)</f>
        <v>0</v>
      </c>
      <c r="O18" s="228"/>
      <c r="P18" s="78"/>
    </row>
    <row r="19" spans="1:16" x14ac:dyDescent="0.25">
      <c r="A19" s="78"/>
      <c r="B19" s="506">
        <v>303</v>
      </c>
      <c r="C19" s="477" t="s">
        <v>506</v>
      </c>
      <c r="D19" s="799">
        <f>Data!B117</f>
        <v>0</v>
      </c>
      <c r="E19" s="779">
        <f>Data!D117</f>
        <v>0</v>
      </c>
      <c r="F19" s="646">
        <f>Data!E117</f>
        <v>0</v>
      </c>
      <c r="G19" s="476">
        <v>0</v>
      </c>
      <c r="H19" s="479">
        <f>ROUND(D19+E19-F19+G19,0)</f>
        <v>0</v>
      </c>
      <c r="I19" s="476">
        <v>0</v>
      </c>
      <c r="J19" s="476">
        <v>0</v>
      </c>
      <c r="K19" s="476">
        <v>0</v>
      </c>
      <c r="L19" s="476">
        <v>0</v>
      </c>
      <c r="M19" s="478">
        <f>H19+I19-J19+K19-L19</f>
        <v>0</v>
      </c>
      <c r="N19" s="478">
        <f>ROUND(H19+I19-J19+(K19*0.5)-(L19*0.5),0)</f>
        <v>0</v>
      </c>
      <c r="O19" s="228"/>
      <c r="P19" s="78"/>
    </row>
    <row r="20" spans="1:16" x14ac:dyDescent="0.25">
      <c r="A20" s="78"/>
      <c r="B20" s="506"/>
      <c r="C20" s="477"/>
      <c r="D20" s="519"/>
      <c r="E20" s="477"/>
      <c r="F20" s="477"/>
      <c r="G20" s="477"/>
      <c r="H20" s="477"/>
      <c r="I20" s="477">
        <v>0</v>
      </c>
      <c r="J20" s="477"/>
      <c r="K20" s="477"/>
      <c r="L20" s="477"/>
      <c r="M20" s="780"/>
      <c r="N20" s="708"/>
      <c r="O20" s="228"/>
      <c r="P20" s="78"/>
    </row>
    <row r="21" spans="1:16" x14ac:dyDescent="0.25">
      <c r="A21" s="78"/>
      <c r="B21" s="506"/>
      <c r="C21" s="477" t="s">
        <v>507</v>
      </c>
      <c r="D21" s="703">
        <f t="shared" ref="D21:M21" si="0">SUM(D17:D19)</f>
        <v>250</v>
      </c>
      <c r="E21" s="703">
        <f t="shared" si="0"/>
        <v>0</v>
      </c>
      <c r="F21" s="703">
        <f t="shared" si="0"/>
        <v>0</v>
      </c>
      <c r="G21" s="703">
        <f t="shared" si="0"/>
        <v>0</v>
      </c>
      <c r="H21" s="703">
        <f t="shared" si="0"/>
        <v>250</v>
      </c>
      <c r="I21" s="703">
        <v>0</v>
      </c>
      <c r="J21" s="703">
        <f t="shared" si="0"/>
        <v>0</v>
      </c>
      <c r="K21" s="703">
        <f t="shared" si="0"/>
        <v>0</v>
      </c>
      <c r="L21" s="703">
        <f t="shared" si="0"/>
        <v>0</v>
      </c>
      <c r="M21" s="703">
        <f t="shared" si="0"/>
        <v>250</v>
      </c>
      <c r="N21" s="703">
        <f>SUM(N17:N19)</f>
        <v>250</v>
      </c>
      <c r="O21" s="228"/>
      <c r="P21" s="78"/>
    </row>
    <row r="22" spans="1:16" x14ac:dyDescent="0.25">
      <c r="A22" s="78"/>
      <c r="B22" s="506"/>
      <c r="C22" s="477"/>
      <c r="D22" s="478" t="s">
        <v>508</v>
      </c>
      <c r="E22" s="477" t="s">
        <v>508</v>
      </c>
      <c r="F22" s="477" t="s">
        <v>508</v>
      </c>
      <c r="G22" s="477"/>
      <c r="H22" s="477" t="s">
        <v>508</v>
      </c>
      <c r="I22" s="477" t="s">
        <v>508</v>
      </c>
      <c r="J22" s="477"/>
      <c r="K22" s="477" t="s">
        <v>508</v>
      </c>
      <c r="L22" s="477" t="s">
        <v>508</v>
      </c>
      <c r="M22" s="477" t="s">
        <v>508</v>
      </c>
      <c r="N22" s="538"/>
      <c r="O22" s="228"/>
      <c r="P22" s="78"/>
    </row>
    <row r="23" spans="1:16" x14ac:dyDescent="0.25">
      <c r="A23" s="78"/>
      <c r="B23" s="506"/>
      <c r="C23" s="536" t="s">
        <v>509</v>
      </c>
      <c r="D23" s="800" t="s">
        <v>259</v>
      </c>
      <c r="E23" s="477"/>
      <c r="F23" s="477"/>
      <c r="G23" s="477"/>
      <c r="H23" s="794" t="s">
        <v>259</v>
      </c>
      <c r="I23" s="480" t="s">
        <v>259</v>
      </c>
      <c r="J23" s="480"/>
      <c r="K23" s="480" t="s">
        <v>259</v>
      </c>
      <c r="L23" s="480" t="s">
        <v>259</v>
      </c>
      <c r="M23" s="794" t="s">
        <v>259</v>
      </c>
      <c r="N23" s="538"/>
      <c r="O23" s="228"/>
      <c r="P23" s="78"/>
    </row>
    <row r="24" spans="1:16" x14ac:dyDescent="0.25">
      <c r="A24" s="78"/>
      <c r="B24" s="506">
        <v>310</v>
      </c>
      <c r="C24" s="477" t="s">
        <v>510</v>
      </c>
      <c r="D24" s="688">
        <f>Data!B118</f>
        <v>7500</v>
      </c>
      <c r="E24" s="538">
        <f>Data!D118</f>
        <v>0</v>
      </c>
      <c r="F24" s="538">
        <f>Data!E118</f>
        <v>0</v>
      </c>
      <c r="G24" s="689">
        <v>0</v>
      </c>
      <c r="H24" s="688">
        <f>ROUND(D24+E24-F24+G24,0)</f>
        <v>7500</v>
      </c>
      <c r="I24" s="689">
        <v>0</v>
      </c>
      <c r="J24" s="689">
        <v>0</v>
      </c>
      <c r="K24" s="689">
        <v>0</v>
      </c>
      <c r="L24" s="689">
        <v>0</v>
      </c>
      <c r="M24" s="688">
        <f t="shared" ref="M24:M30" si="1">H24+I24-J24+K24-L24</f>
        <v>7500</v>
      </c>
      <c r="N24" s="688">
        <f>ROUND(H24+I24-J24+(K24*0.5)-(L24*0.5),0)</f>
        <v>7500</v>
      </c>
      <c r="O24" s="228"/>
      <c r="P24" s="78"/>
    </row>
    <row r="25" spans="1:16" x14ac:dyDescent="0.25">
      <c r="A25" s="78"/>
      <c r="B25" s="506">
        <v>311</v>
      </c>
      <c r="C25" s="477" t="s">
        <v>511</v>
      </c>
      <c r="D25" s="478">
        <f>Data!B119</f>
        <v>0</v>
      </c>
      <c r="E25" s="480">
        <f>Data!D119</f>
        <v>0</v>
      </c>
      <c r="F25" s="480">
        <f>Data!E119</f>
        <v>0</v>
      </c>
      <c r="G25" s="476">
        <v>0</v>
      </c>
      <c r="H25" s="478">
        <f t="shared" ref="H25:H30" si="2">ROUND(D25+E25-F25+G25,0)</f>
        <v>0</v>
      </c>
      <c r="I25" s="476">
        <v>0</v>
      </c>
      <c r="J25" s="476">
        <v>0</v>
      </c>
      <c r="K25" s="476">
        <v>0</v>
      </c>
      <c r="L25" s="476">
        <v>0</v>
      </c>
      <c r="M25" s="478">
        <f t="shared" si="1"/>
        <v>0</v>
      </c>
      <c r="N25" s="478">
        <f t="shared" ref="N25:N30" si="3">ROUND(H25+I25-J25+(K25*0.5)-(L25*0.5),0)</f>
        <v>0</v>
      </c>
      <c r="O25" s="228"/>
      <c r="P25" s="78"/>
    </row>
    <row r="26" spans="1:16" x14ac:dyDescent="0.25">
      <c r="A26" s="78"/>
      <c r="B26" s="506">
        <v>312</v>
      </c>
      <c r="C26" s="477" t="s">
        <v>512</v>
      </c>
      <c r="D26" s="478">
        <f>Data!B120</f>
        <v>28282</v>
      </c>
      <c r="E26" s="480">
        <f>Data!D120</f>
        <v>0</v>
      </c>
      <c r="F26" s="480">
        <f>Data!E120</f>
        <v>0</v>
      </c>
      <c r="G26" s="476">
        <v>0</v>
      </c>
      <c r="H26" s="478">
        <f t="shared" si="2"/>
        <v>28282</v>
      </c>
      <c r="I26" s="476">
        <v>0</v>
      </c>
      <c r="J26" s="476">
        <v>0</v>
      </c>
      <c r="K26" s="476">
        <v>0</v>
      </c>
      <c r="L26" s="476">
        <v>0</v>
      </c>
      <c r="M26" s="478">
        <f t="shared" si="1"/>
        <v>28282</v>
      </c>
      <c r="N26" s="478">
        <f t="shared" si="3"/>
        <v>28282</v>
      </c>
      <c r="O26" s="228"/>
      <c r="P26" s="78"/>
    </row>
    <row r="27" spans="1:16" x14ac:dyDescent="0.25">
      <c r="A27" s="78"/>
      <c r="B27" s="506">
        <v>313</v>
      </c>
      <c r="C27" s="477" t="s">
        <v>513</v>
      </c>
      <c r="D27" s="478">
        <f>Data!B121</f>
        <v>0</v>
      </c>
      <c r="E27" s="480">
        <f>Data!D121</f>
        <v>0</v>
      </c>
      <c r="F27" s="480">
        <f>Data!E121</f>
        <v>0</v>
      </c>
      <c r="G27" s="476">
        <v>0</v>
      </c>
      <c r="H27" s="478">
        <f t="shared" si="2"/>
        <v>0</v>
      </c>
      <c r="I27" s="476">
        <v>0</v>
      </c>
      <c r="J27" s="476">
        <v>0</v>
      </c>
      <c r="K27" s="476">
        <v>0</v>
      </c>
      <c r="L27" s="476">
        <v>0</v>
      </c>
      <c r="M27" s="478">
        <f t="shared" si="1"/>
        <v>0</v>
      </c>
      <c r="N27" s="478">
        <f t="shared" si="3"/>
        <v>0</v>
      </c>
      <c r="O27" s="228"/>
      <c r="P27" s="78"/>
    </row>
    <row r="28" spans="1:16" x14ac:dyDescent="0.25">
      <c r="A28" s="78"/>
      <c r="B28" s="506">
        <v>314</v>
      </c>
      <c r="C28" s="477" t="s">
        <v>514</v>
      </c>
      <c r="D28" s="478">
        <f>Data!B122</f>
        <v>139840</v>
      </c>
      <c r="E28" s="480">
        <f>Data!D122</f>
        <v>0</v>
      </c>
      <c r="F28" s="480">
        <f>Data!E122</f>
        <v>0</v>
      </c>
      <c r="G28" s="476">
        <v>0</v>
      </c>
      <c r="H28" s="478">
        <f t="shared" si="2"/>
        <v>139840</v>
      </c>
      <c r="I28" s="476">
        <v>0</v>
      </c>
      <c r="J28" s="476">
        <v>0</v>
      </c>
      <c r="K28" s="476">
        <v>0</v>
      </c>
      <c r="L28" s="476">
        <v>0</v>
      </c>
      <c r="M28" s="478">
        <f t="shared" si="1"/>
        <v>139840</v>
      </c>
      <c r="N28" s="478">
        <f t="shared" si="3"/>
        <v>139840</v>
      </c>
      <c r="O28" s="228"/>
      <c r="P28" s="78"/>
    </row>
    <row r="29" spans="1:16" x14ac:dyDescent="0.25">
      <c r="A29" s="78"/>
      <c r="B29" s="506">
        <v>316</v>
      </c>
      <c r="C29" s="477" t="s">
        <v>515</v>
      </c>
      <c r="D29" s="478">
        <f>Data!B123</f>
        <v>0</v>
      </c>
      <c r="E29" s="480">
        <f>Data!D123</f>
        <v>0</v>
      </c>
      <c r="F29" s="480">
        <f>Data!E123</f>
        <v>0</v>
      </c>
      <c r="G29" s="476">
        <v>0</v>
      </c>
      <c r="H29" s="478">
        <f t="shared" si="2"/>
        <v>0</v>
      </c>
      <c r="I29" s="476">
        <v>0</v>
      </c>
      <c r="J29" s="476">
        <v>0</v>
      </c>
      <c r="K29" s="476">
        <v>0</v>
      </c>
      <c r="L29" s="476">
        <v>0</v>
      </c>
      <c r="M29" s="478">
        <f t="shared" si="1"/>
        <v>0</v>
      </c>
      <c r="N29" s="478">
        <f t="shared" si="3"/>
        <v>0</v>
      </c>
      <c r="O29" s="228"/>
      <c r="P29" s="78"/>
    </row>
    <row r="30" spans="1:16" x14ac:dyDescent="0.25">
      <c r="A30" s="78"/>
      <c r="B30" s="506">
        <v>317</v>
      </c>
      <c r="C30" s="477" t="s">
        <v>516</v>
      </c>
      <c r="D30" s="479">
        <f>Data!B124</f>
        <v>0</v>
      </c>
      <c r="E30" s="690">
        <f>Data!D124</f>
        <v>0</v>
      </c>
      <c r="F30" s="690">
        <f>Data!E124</f>
        <v>0</v>
      </c>
      <c r="G30" s="476">
        <v>0</v>
      </c>
      <c r="H30" s="479">
        <f t="shared" si="2"/>
        <v>0</v>
      </c>
      <c r="I30" s="476">
        <v>0</v>
      </c>
      <c r="J30" s="476">
        <v>0</v>
      </c>
      <c r="K30" s="476">
        <v>0</v>
      </c>
      <c r="L30" s="476">
        <v>0</v>
      </c>
      <c r="M30" s="478">
        <f t="shared" si="1"/>
        <v>0</v>
      </c>
      <c r="N30" s="478">
        <f t="shared" si="3"/>
        <v>0</v>
      </c>
      <c r="O30" s="228"/>
      <c r="P30" s="78"/>
    </row>
    <row r="31" spans="1:16" x14ac:dyDescent="0.25">
      <c r="A31" s="78"/>
      <c r="B31" s="506"/>
      <c r="C31" s="477"/>
      <c r="D31" s="519"/>
      <c r="E31" s="477"/>
      <c r="F31" s="477"/>
      <c r="G31" s="477"/>
      <c r="H31" s="477"/>
      <c r="I31" s="477"/>
      <c r="J31" s="477"/>
      <c r="K31" s="477"/>
      <c r="L31" s="477"/>
      <c r="M31" s="780"/>
      <c r="N31" s="708"/>
      <c r="O31" s="228"/>
      <c r="P31" s="78"/>
    </row>
    <row r="32" spans="1:16" x14ac:dyDescent="0.25">
      <c r="A32" s="78"/>
      <c r="B32" s="506"/>
      <c r="C32" s="477" t="s">
        <v>517</v>
      </c>
      <c r="D32" s="703">
        <f t="shared" ref="D32:M32" si="4">SUM(D24:D30)</f>
        <v>175622</v>
      </c>
      <c r="E32" s="703">
        <f t="shared" si="4"/>
        <v>0</v>
      </c>
      <c r="F32" s="703">
        <f t="shared" si="4"/>
        <v>0</v>
      </c>
      <c r="G32" s="703">
        <f t="shared" si="4"/>
        <v>0</v>
      </c>
      <c r="H32" s="703">
        <f t="shared" si="4"/>
        <v>175622</v>
      </c>
      <c r="I32" s="703">
        <f t="shared" si="4"/>
        <v>0</v>
      </c>
      <c r="J32" s="703">
        <f>SUM(J24:J30)</f>
        <v>0</v>
      </c>
      <c r="K32" s="703">
        <f t="shared" si="4"/>
        <v>0</v>
      </c>
      <c r="L32" s="703">
        <f t="shared" si="4"/>
        <v>0</v>
      </c>
      <c r="M32" s="703">
        <f t="shared" si="4"/>
        <v>175622</v>
      </c>
      <c r="N32" s="703">
        <f>SUM(N24:N30)</f>
        <v>175622</v>
      </c>
      <c r="O32" s="228"/>
      <c r="P32" s="78"/>
    </row>
    <row r="33" spans="1:16" x14ac:dyDescent="0.25">
      <c r="A33" s="78"/>
      <c r="B33" s="506"/>
      <c r="C33" s="477"/>
      <c r="D33" s="478" t="s">
        <v>508</v>
      </c>
      <c r="E33" s="477" t="s">
        <v>508</v>
      </c>
      <c r="F33" s="477" t="s">
        <v>508</v>
      </c>
      <c r="G33" s="477"/>
      <c r="H33" s="477" t="s">
        <v>508</v>
      </c>
      <c r="I33" s="477" t="s">
        <v>508</v>
      </c>
      <c r="J33" s="477"/>
      <c r="K33" s="477" t="s">
        <v>508</v>
      </c>
      <c r="L33" s="477" t="s">
        <v>508</v>
      </c>
      <c r="M33" s="477" t="s">
        <v>508</v>
      </c>
      <c r="N33" s="538"/>
      <c r="O33" s="228"/>
      <c r="P33" s="78"/>
    </row>
    <row r="34" spans="1:16" x14ac:dyDescent="0.25">
      <c r="A34" s="78"/>
      <c r="B34" s="506"/>
      <c r="C34" s="536" t="s">
        <v>518</v>
      </c>
      <c r="D34" s="478" t="s">
        <v>259</v>
      </c>
      <c r="E34" s="477"/>
      <c r="F34" s="477"/>
      <c r="G34" s="477"/>
      <c r="H34" s="480" t="s">
        <v>259</v>
      </c>
      <c r="I34" s="480" t="s">
        <v>259</v>
      </c>
      <c r="J34" s="480"/>
      <c r="K34" s="480" t="s">
        <v>259</v>
      </c>
      <c r="L34" s="480" t="s">
        <v>259</v>
      </c>
      <c r="M34" s="480" t="s">
        <v>259</v>
      </c>
      <c r="N34" s="538"/>
      <c r="O34" s="228"/>
      <c r="P34" s="78"/>
    </row>
    <row r="35" spans="1:16" x14ac:dyDescent="0.25">
      <c r="A35" s="78"/>
      <c r="B35" s="506">
        <v>320</v>
      </c>
      <c r="C35" s="477" t="s">
        <v>510</v>
      </c>
      <c r="D35" s="688">
        <f>Data!B125</f>
        <v>0</v>
      </c>
      <c r="E35" s="538">
        <f>Data!D125</f>
        <v>0</v>
      </c>
      <c r="F35" s="538">
        <f>Data!E125</f>
        <v>0</v>
      </c>
      <c r="G35" s="689">
        <v>0</v>
      </c>
      <c r="H35" s="688">
        <f t="shared" ref="H35:H40" si="5">ROUND(D35+E35-F35+G35,0)</f>
        <v>0</v>
      </c>
      <c r="I35" s="689">
        <v>0</v>
      </c>
      <c r="J35" s="689">
        <v>0</v>
      </c>
      <c r="K35" s="689">
        <v>0</v>
      </c>
      <c r="L35" s="689">
        <v>0</v>
      </c>
      <c r="M35" s="688">
        <f t="shared" ref="M35:M40" si="6">H35+I35-J35+K35-L35</f>
        <v>0</v>
      </c>
      <c r="N35" s="688">
        <f t="shared" ref="N35:N40" si="7">ROUND(H35+I35-J35+(K35*0.5)-(L35*0.5),0)</f>
        <v>0</v>
      </c>
      <c r="O35" s="228"/>
      <c r="P35" s="78"/>
    </row>
    <row r="36" spans="1:16" x14ac:dyDescent="0.25">
      <c r="A36" s="78"/>
      <c r="B36" s="506">
        <v>321</v>
      </c>
      <c r="C36" s="477" t="s">
        <v>511</v>
      </c>
      <c r="D36" s="478">
        <f>Data!B126</f>
        <v>192622</v>
      </c>
      <c r="E36" s="480">
        <f>Data!D126</f>
        <v>0</v>
      </c>
      <c r="F36" s="480">
        <f>Data!E126</f>
        <v>0</v>
      </c>
      <c r="G36" s="476">
        <v>0</v>
      </c>
      <c r="H36" s="478">
        <f t="shared" si="5"/>
        <v>192622</v>
      </c>
      <c r="I36" s="476">
        <v>0</v>
      </c>
      <c r="J36" s="476">
        <v>0</v>
      </c>
      <c r="K36" s="476">
        <v>0</v>
      </c>
      <c r="L36" s="476">
        <v>0</v>
      </c>
      <c r="M36" s="478">
        <f t="shared" si="6"/>
        <v>192622</v>
      </c>
      <c r="N36" s="478">
        <f t="shared" si="7"/>
        <v>192622</v>
      </c>
      <c r="O36" s="228"/>
      <c r="P36" s="78"/>
    </row>
    <row r="37" spans="1:16" x14ac:dyDescent="0.25">
      <c r="A37" s="78"/>
      <c r="B37" s="506">
        <v>323</v>
      </c>
      <c r="C37" s="477" t="s">
        <v>519</v>
      </c>
      <c r="D37" s="478">
        <f>Data!B127</f>
        <v>899</v>
      </c>
      <c r="E37" s="480">
        <f>Data!D127</f>
        <v>0</v>
      </c>
      <c r="F37" s="480">
        <f>Data!E127</f>
        <v>0</v>
      </c>
      <c r="G37" s="476">
        <v>0</v>
      </c>
      <c r="H37" s="478">
        <f t="shared" si="5"/>
        <v>899</v>
      </c>
      <c r="I37" s="476">
        <v>0</v>
      </c>
      <c r="J37" s="476">
        <v>0</v>
      </c>
      <c r="K37" s="476">
        <v>0</v>
      </c>
      <c r="L37" s="476">
        <v>0</v>
      </c>
      <c r="M37" s="478">
        <f t="shared" si="6"/>
        <v>899</v>
      </c>
      <c r="N37" s="478">
        <f t="shared" si="7"/>
        <v>899</v>
      </c>
      <c r="O37" s="228"/>
      <c r="P37" s="78"/>
    </row>
    <row r="38" spans="1:16" x14ac:dyDescent="0.25">
      <c r="A38" s="78"/>
      <c r="B38" s="506">
        <v>325</v>
      </c>
      <c r="C38" s="477" t="s">
        <v>520</v>
      </c>
      <c r="D38" s="478">
        <f>Data!B128</f>
        <v>354372</v>
      </c>
      <c r="E38" s="480">
        <f>Data!D128</f>
        <v>0</v>
      </c>
      <c r="F38" s="480">
        <f>Data!E128</f>
        <v>0</v>
      </c>
      <c r="G38" s="476">
        <v>0</v>
      </c>
      <c r="H38" s="478">
        <f t="shared" si="5"/>
        <v>354372</v>
      </c>
      <c r="I38" s="476">
        <v>0</v>
      </c>
      <c r="J38" s="476">
        <v>0</v>
      </c>
      <c r="K38" s="476">
        <v>0</v>
      </c>
      <c r="L38" s="476">
        <v>0</v>
      </c>
      <c r="M38" s="478">
        <f t="shared" si="6"/>
        <v>354372</v>
      </c>
      <c r="N38" s="478">
        <f t="shared" si="7"/>
        <v>354372</v>
      </c>
      <c r="O38" s="228"/>
      <c r="P38" s="78"/>
    </row>
    <row r="39" spans="1:16" x14ac:dyDescent="0.25">
      <c r="A39" s="78"/>
      <c r="B39" s="506">
        <v>326</v>
      </c>
      <c r="C39" s="477" t="s">
        <v>521</v>
      </c>
      <c r="D39" s="478">
        <f>Data!B129</f>
        <v>0</v>
      </c>
      <c r="E39" s="480">
        <f>Data!D129</f>
        <v>0</v>
      </c>
      <c r="F39" s="480">
        <f>Data!E129</f>
        <v>0</v>
      </c>
      <c r="G39" s="476">
        <v>0</v>
      </c>
      <c r="H39" s="478">
        <f t="shared" si="5"/>
        <v>0</v>
      </c>
      <c r="I39" s="476">
        <v>0</v>
      </c>
      <c r="J39" s="476">
        <v>0</v>
      </c>
      <c r="K39" s="476">
        <v>0</v>
      </c>
      <c r="L39" s="476">
        <v>0</v>
      </c>
      <c r="M39" s="478">
        <f t="shared" si="6"/>
        <v>0</v>
      </c>
      <c r="N39" s="478">
        <f t="shared" si="7"/>
        <v>0</v>
      </c>
      <c r="O39" s="228"/>
      <c r="P39" s="78"/>
    </row>
    <row r="40" spans="1:16" x14ac:dyDescent="0.25">
      <c r="A40" s="78"/>
      <c r="B40" s="506">
        <v>328</v>
      </c>
      <c r="C40" s="477" t="s">
        <v>522</v>
      </c>
      <c r="D40" s="479">
        <f>Data!B130</f>
        <v>2100</v>
      </c>
      <c r="E40" s="690">
        <f>Data!D130</f>
        <v>0</v>
      </c>
      <c r="F40" s="690">
        <f>Data!E130</f>
        <v>0</v>
      </c>
      <c r="G40" s="476">
        <v>0</v>
      </c>
      <c r="H40" s="479">
        <f t="shared" si="5"/>
        <v>2100</v>
      </c>
      <c r="I40" s="476">
        <v>0</v>
      </c>
      <c r="J40" s="476">
        <v>0</v>
      </c>
      <c r="K40" s="476">
        <v>0</v>
      </c>
      <c r="L40" s="476">
        <v>0</v>
      </c>
      <c r="M40" s="478">
        <f t="shared" si="6"/>
        <v>2100</v>
      </c>
      <c r="N40" s="478">
        <f t="shared" si="7"/>
        <v>2100</v>
      </c>
      <c r="O40" s="228"/>
      <c r="P40" s="78"/>
    </row>
    <row r="41" spans="1:16" x14ac:dyDescent="0.25">
      <c r="A41" s="78"/>
      <c r="B41" s="506"/>
      <c r="C41" s="477"/>
      <c r="D41" s="801"/>
      <c r="E41" s="477"/>
      <c r="F41" s="477"/>
      <c r="G41" s="477"/>
      <c r="H41" s="477"/>
      <c r="I41" s="477"/>
      <c r="J41" s="477"/>
      <c r="K41" s="477"/>
      <c r="L41" s="477"/>
      <c r="M41" s="780"/>
      <c r="N41" s="708"/>
      <c r="O41" s="228"/>
      <c r="P41" s="78"/>
    </row>
    <row r="42" spans="1:16" x14ac:dyDescent="0.25">
      <c r="A42" s="78"/>
      <c r="B42" s="506"/>
      <c r="C42" s="477" t="s">
        <v>523</v>
      </c>
      <c r="D42" s="703">
        <f t="shared" ref="D42:N42" si="8">SUM(D35:D40)</f>
        <v>549993</v>
      </c>
      <c r="E42" s="703">
        <f t="shared" si="8"/>
        <v>0</v>
      </c>
      <c r="F42" s="703">
        <f t="shared" si="8"/>
        <v>0</v>
      </c>
      <c r="G42" s="703">
        <f t="shared" si="8"/>
        <v>0</v>
      </c>
      <c r="H42" s="703">
        <f t="shared" si="8"/>
        <v>549993</v>
      </c>
      <c r="I42" s="703">
        <f t="shared" si="8"/>
        <v>0</v>
      </c>
      <c r="J42" s="703">
        <f t="shared" si="8"/>
        <v>0</v>
      </c>
      <c r="K42" s="703">
        <f t="shared" si="8"/>
        <v>0</v>
      </c>
      <c r="L42" s="703">
        <f t="shared" si="8"/>
        <v>0</v>
      </c>
      <c r="M42" s="703">
        <f t="shared" si="8"/>
        <v>549993</v>
      </c>
      <c r="N42" s="703">
        <f t="shared" si="8"/>
        <v>549993</v>
      </c>
      <c r="O42" s="228"/>
      <c r="P42" s="78"/>
    </row>
    <row r="43" spans="1:16" x14ac:dyDescent="0.25">
      <c r="A43" s="78"/>
      <c r="B43" s="506"/>
      <c r="C43" s="477"/>
      <c r="D43" s="688"/>
      <c r="E43" s="538"/>
      <c r="F43" s="538"/>
      <c r="G43" s="538"/>
      <c r="H43" s="538"/>
      <c r="I43" s="538"/>
      <c r="J43" s="538"/>
      <c r="K43" s="538"/>
      <c r="L43" s="538"/>
      <c r="M43" s="538"/>
      <c r="N43" s="538"/>
      <c r="O43" s="228"/>
      <c r="P43" s="78"/>
    </row>
    <row r="44" spans="1:16" x14ac:dyDescent="0.25">
      <c r="A44" s="78"/>
      <c r="B44" s="506"/>
      <c r="C44" s="536" t="s">
        <v>524</v>
      </c>
      <c r="D44" s="478" t="s">
        <v>259</v>
      </c>
      <c r="E44" s="477"/>
      <c r="F44" s="477"/>
      <c r="G44" s="477"/>
      <c r="H44" s="480" t="s">
        <v>259</v>
      </c>
      <c r="I44" s="480" t="s">
        <v>259</v>
      </c>
      <c r="J44" s="480"/>
      <c r="K44" s="480" t="s">
        <v>259</v>
      </c>
      <c r="L44" s="480" t="s">
        <v>259</v>
      </c>
      <c r="M44" s="480" t="s">
        <v>259</v>
      </c>
      <c r="N44" s="538"/>
      <c r="O44" s="228"/>
      <c r="P44" s="78"/>
    </row>
    <row r="45" spans="1:16" x14ac:dyDescent="0.25">
      <c r="A45" s="78"/>
      <c r="B45" s="506">
        <v>330</v>
      </c>
      <c r="C45" s="477" t="s">
        <v>510</v>
      </c>
      <c r="D45" s="688">
        <f>Data!B131</f>
        <v>0</v>
      </c>
      <c r="E45" s="538">
        <f>Data!D131</f>
        <v>0</v>
      </c>
      <c r="F45" s="538">
        <f>Data!E131</f>
        <v>0</v>
      </c>
      <c r="G45" s="689">
        <v>0</v>
      </c>
      <c r="H45" s="688">
        <f>ROUND(D45+E45-F45+G45,0)</f>
        <v>0</v>
      </c>
      <c r="I45" s="689">
        <v>0</v>
      </c>
      <c r="J45" s="689">
        <v>0</v>
      </c>
      <c r="K45" s="689">
        <v>0</v>
      </c>
      <c r="L45" s="689">
        <v>0</v>
      </c>
      <c r="M45" s="688">
        <f>H45+I45-J45+K45-L45</f>
        <v>0</v>
      </c>
      <c r="N45" s="688">
        <f>ROUND(H45+I45-J45+(K45*0.5)-(L45*0.5),0)</f>
        <v>0</v>
      </c>
      <c r="O45" s="228"/>
      <c r="P45" s="78"/>
    </row>
    <row r="46" spans="1:16" x14ac:dyDescent="0.25">
      <c r="A46" s="78"/>
      <c r="B46" s="506">
        <v>331</v>
      </c>
      <c r="C46" s="477" t="s">
        <v>511</v>
      </c>
      <c r="D46" s="478">
        <f>Data!B132</f>
        <v>0</v>
      </c>
      <c r="E46" s="480">
        <f>Data!D132</f>
        <v>0</v>
      </c>
      <c r="F46" s="480">
        <f>Data!E132</f>
        <v>0</v>
      </c>
      <c r="G46" s="476">
        <v>0</v>
      </c>
      <c r="H46" s="478">
        <f>ROUND(D46+E46-F46+G46,0)</f>
        <v>0</v>
      </c>
      <c r="I46" s="476">
        <v>0</v>
      </c>
      <c r="J46" s="476">
        <v>0</v>
      </c>
      <c r="K46" s="476">
        <v>0</v>
      </c>
      <c r="L46" s="476">
        <v>0</v>
      </c>
      <c r="M46" s="478">
        <f>H46+I46-J46+K46-L46</f>
        <v>0</v>
      </c>
      <c r="N46" s="688">
        <f>ROUND(H46+I46-J46+(K46*0.5)-(L46*0.5),0)</f>
        <v>0</v>
      </c>
      <c r="O46" s="228"/>
      <c r="P46" s="78"/>
    </row>
    <row r="47" spans="1:16" x14ac:dyDescent="0.25">
      <c r="A47" s="78"/>
      <c r="B47" s="506">
        <v>332</v>
      </c>
      <c r="C47" s="477" t="s">
        <v>525</v>
      </c>
      <c r="D47" s="478">
        <f>Data!B133</f>
        <v>0</v>
      </c>
      <c r="E47" s="480">
        <f>Data!D133</f>
        <v>0</v>
      </c>
      <c r="F47" s="480">
        <f>Data!E133</f>
        <v>0</v>
      </c>
      <c r="G47" s="476">
        <v>0</v>
      </c>
      <c r="H47" s="478">
        <f>ROUND(D47+E47-F47+G47,0)</f>
        <v>0</v>
      </c>
      <c r="I47" s="476">
        <v>0</v>
      </c>
      <c r="J47" s="476">
        <v>0</v>
      </c>
      <c r="K47" s="476">
        <v>0</v>
      </c>
      <c r="L47" s="476">
        <v>0</v>
      </c>
      <c r="M47" s="478">
        <f>H47+I47-J47+K47-L47</f>
        <v>0</v>
      </c>
      <c r="N47" s="688">
        <f>ROUND(H47+I47-J47+(K47*0.5)-(L47*0.5),0)</f>
        <v>0</v>
      </c>
      <c r="O47" s="228"/>
      <c r="P47" s="78"/>
    </row>
    <row r="48" spans="1:16" x14ac:dyDescent="0.25">
      <c r="A48" s="78"/>
      <c r="B48" s="506">
        <v>333</v>
      </c>
      <c r="C48" s="477" t="s">
        <v>526</v>
      </c>
      <c r="D48" s="478">
        <f>Data!B134</f>
        <v>0</v>
      </c>
      <c r="E48" s="480">
        <f>Data!D134</f>
        <v>0</v>
      </c>
      <c r="F48" s="480">
        <f>Data!E134</f>
        <v>0</v>
      </c>
      <c r="G48" s="476">
        <v>0</v>
      </c>
      <c r="H48" s="478">
        <f>ROUND(D48+E48-F48+G48,0)</f>
        <v>0</v>
      </c>
      <c r="I48" s="476">
        <v>0</v>
      </c>
      <c r="J48" s="476">
        <v>0</v>
      </c>
      <c r="K48" s="476">
        <v>0</v>
      </c>
      <c r="L48" s="476">
        <v>0</v>
      </c>
      <c r="M48" s="478">
        <f>H48+I48-J48+K48-L48</f>
        <v>0</v>
      </c>
      <c r="N48" s="688">
        <f>ROUND(H48+I48-J48+(K48*0.5)-(L48*0.5),0)</f>
        <v>0</v>
      </c>
      <c r="O48" s="228"/>
      <c r="P48" s="78"/>
    </row>
    <row r="49" spans="1:16" x14ac:dyDescent="0.25">
      <c r="A49" s="78"/>
      <c r="B49" s="506">
        <v>334</v>
      </c>
      <c r="C49" s="477" t="s">
        <v>527</v>
      </c>
      <c r="D49" s="479">
        <f>Data!B135</f>
        <v>14098</v>
      </c>
      <c r="E49" s="690">
        <f>Data!D135</f>
        <v>0</v>
      </c>
      <c r="F49" s="690">
        <f>Data!E135</f>
        <v>0</v>
      </c>
      <c r="G49" s="476">
        <v>0</v>
      </c>
      <c r="H49" s="479">
        <f>ROUND(D49+E49-F49+G49,0)</f>
        <v>14098</v>
      </c>
      <c r="I49" s="476">
        <v>0</v>
      </c>
      <c r="J49" s="476">
        <v>0</v>
      </c>
      <c r="K49" s="476">
        <v>0</v>
      </c>
      <c r="L49" s="476">
        <v>0</v>
      </c>
      <c r="M49" s="478">
        <f>H49+I49-J49+K49-L49</f>
        <v>14098</v>
      </c>
      <c r="N49" s="688">
        <f>ROUND(H49+I49-J49+(K49*0.5)-(L49*0.5),0)</f>
        <v>14098</v>
      </c>
      <c r="O49" s="228"/>
      <c r="P49" s="78"/>
    </row>
    <row r="50" spans="1:16" x14ac:dyDescent="0.25">
      <c r="A50" s="78"/>
      <c r="B50" s="506"/>
      <c r="C50" s="477"/>
      <c r="D50" s="708"/>
      <c r="E50" s="538"/>
      <c r="F50" s="538"/>
      <c r="G50" s="538"/>
      <c r="H50" s="538"/>
      <c r="I50" s="538"/>
      <c r="J50" s="538"/>
      <c r="K50" s="538"/>
      <c r="L50" s="538"/>
      <c r="M50" s="708"/>
      <c r="N50" s="708"/>
      <c r="O50" s="228"/>
      <c r="P50" s="78"/>
    </row>
    <row r="51" spans="1:16" x14ac:dyDescent="0.25">
      <c r="A51" s="78"/>
      <c r="B51" s="506"/>
      <c r="C51" s="477" t="s">
        <v>528</v>
      </c>
      <c r="D51" s="703">
        <f t="shared" ref="D51:L51" si="9">SUM(D45:D50)</f>
        <v>14098</v>
      </c>
      <c r="E51" s="703">
        <f t="shared" si="9"/>
        <v>0</v>
      </c>
      <c r="F51" s="703">
        <f t="shared" si="9"/>
        <v>0</v>
      </c>
      <c r="G51" s="703">
        <f t="shared" si="9"/>
        <v>0</v>
      </c>
      <c r="H51" s="703">
        <f t="shared" si="9"/>
        <v>14098</v>
      </c>
      <c r="I51" s="703">
        <f t="shared" si="9"/>
        <v>0</v>
      </c>
      <c r="J51" s="703">
        <f t="shared" si="9"/>
        <v>0</v>
      </c>
      <c r="K51" s="703">
        <f t="shared" si="9"/>
        <v>0</v>
      </c>
      <c r="L51" s="703">
        <f t="shared" si="9"/>
        <v>0</v>
      </c>
      <c r="M51" s="703">
        <f>SUM(M45:M50)</f>
        <v>14098</v>
      </c>
      <c r="N51" s="703">
        <f>SUM(N45:N49)</f>
        <v>14098</v>
      </c>
      <c r="O51" s="228"/>
      <c r="P51" s="78"/>
    </row>
    <row r="52" spans="1:16" ht="24" customHeight="1" thickBot="1" x14ac:dyDescent="0.3">
      <c r="A52" s="78"/>
      <c r="B52" s="508"/>
      <c r="C52" s="509"/>
      <c r="D52" s="795"/>
      <c r="E52" s="795"/>
      <c r="F52" s="795"/>
      <c r="G52" s="795"/>
      <c r="H52" s="795"/>
      <c r="I52" s="795"/>
      <c r="J52" s="795"/>
      <c r="K52" s="795"/>
      <c r="L52" s="795"/>
      <c r="M52" s="795"/>
      <c r="N52" s="795"/>
      <c r="O52" s="232"/>
      <c r="P52" s="78"/>
    </row>
    <row r="53" spans="1:16" ht="13.8" thickTop="1" x14ac:dyDescent="0.25">
      <c r="A53" s="78"/>
      <c r="B53" s="520"/>
      <c r="C53" s="79"/>
      <c r="D53" s="79"/>
      <c r="E53" s="79"/>
      <c r="F53" s="79"/>
      <c r="G53" s="79"/>
      <c r="H53" s="79"/>
      <c r="I53" s="79"/>
      <c r="J53" s="79"/>
      <c r="K53" s="79"/>
      <c r="L53" s="79"/>
      <c r="M53" s="79"/>
      <c r="N53" s="466"/>
      <c r="O53" s="78"/>
      <c r="P53" s="78"/>
    </row>
    <row r="54" spans="1:16" x14ac:dyDescent="0.25">
      <c r="A54" s="78"/>
      <c r="B54" s="524" t="str">
        <f>B1</f>
        <v>2023 Test Year</v>
      </c>
      <c r="C54" s="469"/>
      <c r="D54" s="2408" t="str">
        <f>Utility</f>
        <v>Cleveland Water Utility</v>
      </c>
      <c r="E54" s="2569"/>
      <c r="F54" s="2569"/>
      <c r="G54" s="2569"/>
      <c r="H54" s="2569"/>
      <c r="I54" s="2569"/>
      <c r="J54" s="2569"/>
      <c r="K54" s="2569"/>
      <c r="L54" s="2569"/>
      <c r="M54" s="469"/>
      <c r="N54" s="78"/>
      <c r="O54" s="470" t="s">
        <v>488</v>
      </c>
      <c r="P54" s="78"/>
    </row>
    <row r="55" spans="1:16" x14ac:dyDescent="0.25">
      <c r="A55" s="78"/>
      <c r="B55" s="471"/>
      <c r="C55" s="471"/>
      <c r="D55" s="475"/>
      <c r="E55" s="475"/>
      <c r="F55" s="475"/>
      <c r="G55" s="475"/>
      <c r="H55" s="475"/>
      <c r="I55" s="475"/>
      <c r="J55" s="475"/>
      <c r="K55" s="610"/>
      <c r="L55" s="610"/>
      <c r="M55" s="471"/>
      <c r="N55" s="78"/>
      <c r="O55" s="470" t="s">
        <v>467</v>
      </c>
      <c r="P55" s="78"/>
    </row>
    <row r="56" spans="1:16" x14ac:dyDescent="0.25">
      <c r="A56" s="78"/>
      <c r="B56" s="471"/>
      <c r="C56" s="469"/>
      <c r="D56" s="2564" t="s">
        <v>489</v>
      </c>
      <c r="E56" s="2565"/>
      <c r="F56" s="2565"/>
      <c r="G56" s="2565"/>
      <c r="H56" s="2565"/>
      <c r="I56" s="2565"/>
      <c r="J56" s="2565"/>
      <c r="K56" s="2565"/>
      <c r="L56" s="2565"/>
      <c r="M56" s="469"/>
      <c r="N56" s="782"/>
      <c r="O56" s="78"/>
      <c r="P56" s="78"/>
    </row>
    <row r="57" spans="1:16" x14ac:dyDescent="0.25">
      <c r="A57" s="78"/>
      <c r="B57" s="564"/>
      <c r="C57" s="564"/>
      <c r="D57" s="2564" t="str">
        <f>"Estimated for Test Year "&amp; TestYear</f>
        <v>Estimated for Test Year 2023</v>
      </c>
      <c r="E57" s="2565"/>
      <c r="F57" s="2565"/>
      <c r="G57" s="2565"/>
      <c r="H57" s="2565"/>
      <c r="I57" s="2565"/>
      <c r="J57" s="2565"/>
      <c r="K57" s="2565"/>
      <c r="L57" s="2565"/>
      <c r="M57" s="564"/>
      <c r="N57" s="782"/>
      <c r="O57" s="78"/>
      <c r="P57" s="78"/>
    </row>
    <row r="58" spans="1:16" ht="13.8" thickBot="1" x14ac:dyDescent="0.3">
      <c r="A58" s="78"/>
      <c r="B58" s="471"/>
      <c r="C58" s="469"/>
      <c r="D58" s="2408" t="str">
        <f>D6</f>
        <v>Utility or Municipal Financed Transactions Only</v>
      </c>
      <c r="E58" s="2565"/>
      <c r="F58" s="2565"/>
      <c r="G58" s="2565"/>
      <c r="H58" s="2565"/>
      <c r="I58" s="2565"/>
      <c r="J58" s="2565"/>
      <c r="K58" s="2565"/>
      <c r="L58" s="2565"/>
      <c r="M58" s="469"/>
      <c r="N58" s="782"/>
      <c r="O58" s="78"/>
      <c r="P58" s="78"/>
    </row>
    <row r="59" spans="1:16" ht="13.8" thickTop="1" x14ac:dyDescent="0.25">
      <c r="A59" s="78"/>
      <c r="B59" s="796"/>
      <c r="C59" s="719" t="s">
        <v>442</v>
      </c>
      <c r="D59" s="720"/>
      <c r="E59" s="2538" t="str">
        <f>E13</f>
        <v xml:space="preserve"> 2022</v>
      </c>
      <c r="F59" s="2539"/>
      <c r="G59" s="790"/>
      <c r="H59" s="724" t="s">
        <v>492</v>
      </c>
      <c r="I59" s="2541" t="str">
        <f>I12</f>
        <v>Estimate 2023</v>
      </c>
      <c r="J59" s="2541"/>
      <c r="K59" s="2541"/>
      <c r="L59" s="2541"/>
      <c r="M59" s="720"/>
      <c r="N59" s="720" t="s">
        <v>313</v>
      </c>
      <c r="O59" s="226"/>
      <c r="P59" s="78"/>
    </row>
    <row r="60" spans="1:16" x14ac:dyDescent="0.25">
      <c r="A60" s="78"/>
      <c r="B60" s="506" t="s">
        <v>443</v>
      </c>
      <c r="C60" s="481"/>
      <c r="D60" s="713" t="s">
        <v>8</v>
      </c>
      <c r="E60" s="2540"/>
      <c r="F60" s="2540"/>
      <c r="G60" s="771"/>
      <c r="H60" s="592" t="s">
        <v>494</v>
      </c>
      <c r="I60" s="2551" t="s">
        <v>495</v>
      </c>
      <c r="J60" s="2552"/>
      <c r="K60" s="2551" t="s">
        <v>496</v>
      </c>
      <c r="L60" s="2552"/>
      <c r="M60" s="713" t="s">
        <v>492</v>
      </c>
      <c r="N60" s="713" t="s">
        <v>175</v>
      </c>
      <c r="O60" s="228"/>
      <c r="P60" s="78"/>
    </row>
    <row r="61" spans="1:16" x14ac:dyDescent="0.25">
      <c r="A61" s="78"/>
      <c r="B61" s="506" t="s">
        <v>444</v>
      </c>
      <c r="C61" s="713" t="s">
        <v>491</v>
      </c>
      <c r="D61" s="776" t="s">
        <v>494</v>
      </c>
      <c r="E61" s="652" t="s">
        <v>497</v>
      </c>
      <c r="F61" s="653" t="s">
        <v>498</v>
      </c>
      <c r="G61" s="591" t="s">
        <v>499</v>
      </c>
      <c r="H61" s="592" t="str">
        <f>H14</f>
        <v>12/31/2022</v>
      </c>
      <c r="I61" s="653" t="s">
        <v>497</v>
      </c>
      <c r="J61" s="652" t="s">
        <v>498</v>
      </c>
      <c r="K61" s="652" t="s">
        <v>497</v>
      </c>
      <c r="L61" s="652" t="s">
        <v>498</v>
      </c>
      <c r="M61" s="591" t="s">
        <v>494</v>
      </c>
      <c r="N61" s="713" t="s">
        <v>500</v>
      </c>
      <c r="O61" s="228"/>
      <c r="P61" s="78"/>
    </row>
    <row r="62" spans="1:16" ht="17.25" customHeight="1" x14ac:dyDescent="0.25">
      <c r="A62" s="78"/>
      <c r="B62" s="797"/>
      <c r="C62" s="786"/>
      <c r="D62" s="905" t="str">
        <f>D14</f>
        <v>12/31/2021</v>
      </c>
      <c r="E62" s="788" t="str">
        <f>E15</f>
        <v>Notes (A,B)</v>
      </c>
      <c r="F62" s="788" t="str">
        <f>F15</f>
        <v>Note (B)</v>
      </c>
      <c r="G62" s="788"/>
      <c r="H62" s="787"/>
      <c r="I62" s="788" t="str">
        <f>I15</f>
        <v>Notes (A,B)</v>
      </c>
      <c r="J62" s="788" t="str">
        <f>J15</f>
        <v>Note (B)</v>
      </c>
      <c r="K62" s="788" t="str">
        <f>K15</f>
        <v>Notes (A,B)</v>
      </c>
      <c r="L62" s="788" t="str">
        <f>L15</f>
        <v>Note (B)</v>
      </c>
      <c r="M62" s="778" t="str">
        <f>M14</f>
        <v>12/31/2023</v>
      </c>
      <c r="N62" s="646"/>
      <c r="O62" s="228"/>
      <c r="P62" s="78"/>
    </row>
    <row r="63" spans="1:16" ht="17.25" customHeight="1" x14ac:dyDescent="0.25">
      <c r="A63" s="78"/>
      <c r="B63" s="504"/>
      <c r="C63" s="536" t="s">
        <v>529</v>
      </c>
      <c r="D63" s="480" t="s">
        <v>259</v>
      </c>
      <c r="E63" s="477"/>
      <c r="F63" s="477"/>
      <c r="G63" s="477"/>
      <c r="H63" s="480" t="s">
        <v>259</v>
      </c>
      <c r="I63" s="480"/>
      <c r="J63" s="480"/>
      <c r="K63" s="480" t="s">
        <v>259</v>
      </c>
      <c r="L63" s="480" t="s">
        <v>259</v>
      </c>
      <c r="M63" s="480" t="s">
        <v>259</v>
      </c>
      <c r="N63" s="538"/>
      <c r="O63" s="228"/>
      <c r="P63" s="78"/>
    </row>
    <row r="64" spans="1:16" ht="17.25" customHeight="1" x14ac:dyDescent="0.25">
      <c r="A64" s="78"/>
      <c r="B64" s="506">
        <v>340</v>
      </c>
      <c r="C64" s="477" t="s">
        <v>510</v>
      </c>
      <c r="D64" s="688">
        <f>Data!B136</f>
        <v>900</v>
      </c>
      <c r="E64" s="538">
        <f>Data!D136</f>
        <v>0</v>
      </c>
      <c r="F64" s="538">
        <f>Data!E136</f>
        <v>0</v>
      </c>
      <c r="G64" s="689">
        <v>0</v>
      </c>
      <c r="H64" s="688">
        <f>ROUND(D64+E64-F64+G64,0)</f>
        <v>900</v>
      </c>
      <c r="I64" s="689">
        <v>0</v>
      </c>
      <c r="J64" s="689">
        <v>0</v>
      </c>
      <c r="K64" s="689">
        <v>0</v>
      </c>
      <c r="L64" s="689">
        <v>0</v>
      </c>
      <c r="M64" s="688">
        <f t="shared" ref="M64:M71" si="10">H64+I64-J64+K64-L64</f>
        <v>900</v>
      </c>
      <c r="N64" s="688">
        <f t="shared" ref="N64:N71" si="11">ROUND(H64+I64-J64+(K64*0.5)-(L64*0.5),0)</f>
        <v>900</v>
      </c>
      <c r="O64" s="228"/>
      <c r="P64" s="78"/>
    </row>
    <row r="65" spans="1:16" x14ac:dyDescent="0.25">
      <c r="A65" s="78"/>
      <c r="B65" s="506">
        <v>341</v>
      </c>
      <c r="C65" s="477" t="s">
        <v>511</v>
      </c>
      <c r="D65" s="478">
        <f>Data!B137</f>
        <v>0</v>
      </c>
      <c r="E65" s="480">
        <f>Data!D137</f>
        <v>0</v>
      </c>
      <c r="F65" s="480">
        <f>Data!E137</f>
        <v>0</v>
      </c>
      <c r="G65" s="476">
        <v>0</v>
      </c>
      <c r="H65" s="478">
        <f>ROUND(D65+E65-F65+G65,0)</f>
        <v>0</v>
      </c>
      <c r="I65" s="476">
        <v>0</v>
      </c>
      <c r="J65" s="476">
        <v>0</v>
      </c>
      <c r="K65" s="476">
        <v>0</v>
      </c>
      <c r="L65" s="476">
        <v>0</v>
      </c>
      <c r="M65" s="478">
        <f t="shared" si="10"/>
        <v>0</v>
      </c>
      <c r="N65" s="478">
        <f t="shared" si="11"/>
        <v>0</v>
      </c>
      <c r="O65" s="228"/>
      <c r="P65" s="78"/>
    </row>
    <row r="66" spans="1:16" x14ac:dyDescent="0.25">
      <c r="A66" s="78"/>
      <c r="B66" s="506">
        <v>342</v>
      </c>
      <c r="C66" s="477" t="s">
        <v>530</v>
      </c>
      <c r="D66" s="478">
        <f>Data!B138</f>
        <v>76030</v>
      </c>
      <c r="E66" s="480">
        <f>Data!D138</f>
        <v>0</v>
      </c>
      <c r="F66" s="480">
        <f>Data!E138</f>
        <v>0</v>
      </c>
      <c r="G66" s="476">
        <v>0</v>
      </c>
      <c r="H66" s="478">
        <f t="shared" ref="H66:H71" si="12">ROUND(D66+E66-F66+G66,0)</f>
        <v>76030</v>
      </c>
      <c r="I66" s="476">
        <v>0</v>
      </c>
      <c r="J66" s="476">
        <v>0</v>
      </c>
      <c r="K66" s="476">
        <v>0</v>
      </c>
      <c r="L66" s="476">
        <v>0</v>
      </c>
      <c r="M66" s="478">
        <f t="shared" si="10"/>
        <v>76030</v>
      </c>
      <c r="N66" s="478">
        <f t="shared" si="11"/>
        <v>76030</v>
      </c>
      <c r="O66" s="228"/>
      <c r="P66" s="78"/>
    </row>
    <row r="67" spans="1:16" x14ac:dyDescent="0.25">
      <c r="A67" s="78"/>
      <c r="B67" s="506">
        <v>343</v>
      </c>
      <c r="C67" s="477" t="s">
        <v>531</v>
      </c>
      <c r="D67" s="478">
        <f>Data!B139</f>
        <v>622274</v>
      </c>
      <c r="E67" s="480">
        <v>385524</v>
      </c>
      <c r="F67" s="480">
        <v>55390</v>
      </c>
      <c r="G67" s="476">
        <v>0</v>
      </c>
      <c r="H67" s="478">
        <f t="shared" si="12"/>
        <v>952408</v>
      </c>
      <c r="I67" s="476">
        <v>0</v>
      </c>
      <c r="J67" s="476">
        <v>0</v>
      </c>
      <c r="K67" s="476">
        <f>765514-274401</f>
        <v>491113</v>
      </c>
      <c r="L67" s="476">
        <f>11700+10600+12240+4000+13950+39700+34500+10000</f>
        <v>136690</v>
      </c>
      <c r="M67" s="478">
        <f t="shared" si="10"/>
        <v>1306831</v>
      </c>
      <c r="N67" s="478">
        <f t="shared" si="11"/>
        <v>1129620</v>
      </c>
      <c r="O67" s="228"/>
      <c r="P67" s="78"/>
    </row>
    <row r="68" spans="1:16" x14ac:dyDescent="0.25">
      <c r="A68" s="78"/>
      <c r="B68" s="506">
        <v>345</v>
      </c>
      <c r="C68" s="477" t="s">
        <v>532</v>
      </c>
      <c r="D68" s="478">
        <f>Data!B140</f>
        <v>55542</v>
      </c>
      <c r="E68" s="480">
        <v>87894</v>
      </c>
      <c r="F68" s="480">
        <v>3900</v>
      </c>
      <c r="G68" s="476">
        <v>0</v>
      </c>
      <c r="H68" s="478">
        <f t="shared" si="12"/>
        <v>139536</v>
      </c>
      <c r="I68" s="476">
        <v>0</v>
      </c>
      <c r="J68" s="476">
        <v>0</v>
      </c>
      <c r="K68" s="476">
        <v>157548</v>
      </c>
      <c r="L68" s="476">
        <f>38*100+5*200</f>
        <v>4800</v>
      </c>
      <c r="M68" s="478">
        <f t="shared" si="10"/>
        <v>292284</v>
      </c>
      <c r="N68" s="478">
        <f t="shared" si="11"/>
        <v>215910</v>
      </c>
      <c r="O68" s="228"/>
      <c r="P68" s="78"/>
    </row>
    <row r="69" spans="1:16" x14ac:dyDescent="0.25">
      <c r="A69" s="78"/>
      <c r="B69" s="506">
        <v>346</v>
      </c>
      <c r="C69" s="477" t="s">
        <v>533</v>
      </c>
      <c r="D69" s="478">
        <f>Data!B141</f>
        <v>105106</v>
      </c>
      <c r="E69" s="480">
        <v>111191</v>
      </c>
      <c r="F69" s="480">
        <v>19000</v>
      </c>
      <c r="G69" s="476">
        <v>0</v>
      </c>
      <c r="H69" s="478">
        <f t="shared" si="12"/>
        <v>197297</v>
      </c>
      <c r="I69" s="476">
        <v>0</v>
      </c>
      <c r="J69" s="476">
        <v>0</v>
      </c>
      <c r="K69" s="476">
        <v>31000</v>
      </c>
      <c r="L69" s="476">
        <v>28000</v>
      </c>
      <c r="M69" s="478">
        <f t="shared" si="10"/>
        <v>200297</v>
      </c>
      <c r="N69" s="478">
        <f t="shared" si="11"/>
        <v>198797</v>
      </c>
      <c r="O69" s="228"/>
      <c r="P69" s="78"/>
    </row>
    <row r="70" spans="1:16" x14ac:dyDescent="0.25">
      <c r="A70" s="78"/>
      <c r="B70" s="506">
        <v>348</v>
      </c>
      <c r="C70" s="477" t="s">
        <v>255</v>
      </c>
      <c r="D70" s="478">
        <f>Data!B142</f>
        <v>162801</v>
      </c>
      <c r="E70" s="480">
        <v>54949</v>
      </c>
      <c r="F70" s="480">
        <v>5000</v>
      </c>
      <c r="G70" s="476">
        <v>0</v>
      </c>
      <c r="H70" s="478">
        <f t="shared" si="12"/>
        <v>212750</v>
      </c>
      <c r="I70" s="476">
        <v>0</v>
      </c>
      <c r="J70" s="476">
        <v>0</v>
      </c>
      <c r="K70" s="476">
        <v>107844</v>
      </c>
      <c r="L70" s="476">
        <f>13*500+3*750</f>
        <v>8750</v>
      </c>
      <c r="M70" s="478">
        <f t="shared" si="10"/>
        <v>311844</v>
      </c>
      <c r="N70" s="478">
        <f t="shared" si="11"/>
        <v>262297</v>
      </c>
      <c r="O70" s="228"/>
      <c r="P70" s="78"/>
    </row>
    <row r="71" spans="1:16" x14ac:dyDescent="0.25">
      <c r="A71" s="78"/>
      <c r="B71" s="506">
        <v>349</v>
      </c>
      <c r="C71" s="477" t="s">
        <v>534</v>
      </c>
      <c r="D71" s="799">
        <f>Data!B143</f>
        <v>0</v>
      </c>
      <c r="E71" s="779">
        <f>Data!D143</f>
        <v>0</v>
      </c>
      <c r="F71" s="779">
        <f>Data!E143</f>
        <v>0</v>
      </c>
      <c r="G71" s="476">
        <v>0</v>
      </c>
      <c r="H71" s="479">
        <f t="shared" si="12"/>
        <v>0</v>
      </c>
      <c r="I71" s="476">
        <v>0</v>
      </c>
      <c r="J71" s="476">
        <v>0</v>
      </c>
      <c r="K71" s="476">
        <v>0</v>
      </c>
      <c r="L71" s="476">
        <v>0</v>
      </c>
      <c r="M71" s="478">
        <f t="shared" si="10"/>
        <v>0</v>
      </c>
      <c r="N71" s="478">
        <f t="shared" si="11"/>
        <v>0</v>
      </c>
      <c r="O71" s="228"/>
      <c r="P71" s="78"/>
    </row>
    <row r="72" spans="1:16" ht="15.75" customHeight="1" x14ac:dyDescent="0.25">
      <c r="A72" s="78"/>
      <c r="B72" s="506"/>
      <c r="C72" s="477"/>
      <c r="D72" s="801"/>
      <c r="E72" s="477"/>
      <c r="F72" s="477"/>
      <c r="G72" s="477"/>
      <c r="H72" s="477"/>
      <c r="I72" s="477"/>
      <c r="J72" s="477"/>
      <c r="K72" s="477"/>
      <c r="L72" s="477"/>
      <c r="M72" s="780"/>
      <c r="N72" s="708"/>
      <c r="O72" s="228"/>
      <c r="P72" s="78"/>
    </row>
    <row r="73" spans="1:16" ht="15.75" customHeight="1" x14ac:dyDescent="0.25">
      <c r="A73" s="78"/>
      <c r="B73" s="506"/>
      <c r="C73" s="477" t="s">
        <v>535</v>
      </c>
      <c r="D73" s="703">
        <f t="shared" ref="D73:M73" si="13">SUM(D64:D71)</f>
        <v>1022653</v>
      </c>
      <c r="E73" s="703">
        <f t="shared" si="13"/>
        <v>639558</v>
      </c>
      <c r="F73" s="703">
        <f t="shared" si="13"/>
        <v>83290</v>
      </c>
      <c r="G73" s="703">
        <f t="shared" si="13"/>
        <v>0</v>
      </c>
      <c r="H73" s="703">
        <f t="shared" si="13"/>
        <v>1578921</v>
      </c>
      <c r="I73" s="703">
        <f t="shared" si="13"/>
        <v>0</v>
      </c>
      <c r="J73" s="703">
        <f>SUM(J64:J71)</f>
        <v>0</v>
      </c>
      <c r="K73" s="703">
        <f t="shared" si="13"/>
        <v>787505</v>
      </c>
      <c r="L73" s="703">
        <f t="shared" si="13"/>
        <v>178240</v>
      </c>
      <c r="M73" s="703">
        <f t="shared" si="13"/>
        <v>2188186</v>
      </c>
      <c r="N73" s="703">
        <f>SUM(N64:N71)</f>
        <v>1883554</v>
      </c>
      <c r="O73" s="228"/>
      <c r="P73" s="78"/>
    </row>
    <row r="74" spans="1:16" x14ac:dyDescent="0.25">
      <c r="A74" s="78"/>
      <c r="B74" s="506"/>
      <c r="C74" s="477"/>
      <c r="D74" s="478" t="s">
        <v>508</v>
      </c>
      <c r="E74" s="477" t="s">
        <v>508</v>
      </c>
      <c r="F74" s="477" t="s">
        <v>508</v>
      </c>
      <c r="G74" s="477"/>
      <c r="H74" s="477" t="s">
        <v>508</v>
      </c>
      <c r="I74" s="477" t="s">
        <v>508</v>
      </c>
      <c r="J74" s="477" t="s">
        <v>508</v>
      </c>
      <c r="K74" s="477" t="s">
        <v>508</v>
      </c>
      <c r="L74" s="477" t="s">
        <v>508</v>
      </c>
      <c r="M74" s="477" t="s">
        <v>508</v>
      </c>
      <c r="N74" s="538"/>
      <c r="O74" s="228"/>
      <c r="P74" s="78"/>
    </row>
    <row r="75" spans="1:16" x14ac:dyDescent="0.25">
      <c r="A75" s="78"/>
      <c r="B75" s="506"/>
      <c r="C75" s="477"/>
      <c r="D75" s="519"/>
      <c r="E75" s="477"/>
      <c r="F75" s="477"/>
      <c r="G75" s="477"/>
      <c r="H75" s="477"/>
      <c r="I75" s="477"/>
      <c r="J75" s="477"/>
      <c r="K75" s="477"/>
      <c r="L75" s="477"/>
      <c r="M75" s="477"/>
      <c r="N75" s="538"/>
      <c r="O75" s="228"/>
      <c r="P75" s="78"/>
    </row>
    <row r="76" spans="1:16" x14ac:dyDescent="0.25">
      <c r="A76" s="78"/>
      <c r="B76" s="506"/>
      <c r="C76" s="536" t="s">
        <v>536</v>
      </c>
      <c r="D76" s="478" t="s">
        <v>259</v>
      </c>
      <c r="E76" s="477"/>
      <c r="F76" s="477"/>
      <c r="G76" s="477"/>
      <c r="H76" s="480" t="s">
        <v>259</v>
      </c>
      <c r="I76" s="480" t="s">
        <v>259</v>
      </c>
      <c r="J76" s="480" t="s">
        <v>259</v>
      </c>
      <c r="K76" s="480" t="s">
        <v>259</v>
      </c>
      <c r="L76" s="480" t="s">
        <v>259</v>
      </c>
      <c r="M76" s="480" t="s">
        <v>259</v>
      </c>
      <c r="N76" s="538"/>
      <c r="O76" s="228"/>
      <c r="P76" s="78"/>
    </row>
    <row r="77" spans="1:16" x14ac:dyDescent="0.25">
      <c r="A77" s="78"/>
      <c r="B77" s="506">
        <v>389</v>
      </c>
      <c r="C77" s="477" t="s">
        <v>510</v>
      </c>
      <c r="D77" s="688">
        <f>Data!B144</f>
        <v>0</v>
      </c>
      <c r="E77" s="538">
        <f>Data!D144</f>
        <v>0</v>
      </c>
      <c r="F77" s="538">
        <f>Data!E144</f>
        <v>0</v>
      </c>
      <c r="G77" s="689">
        <v>0</v>
      </c>
      <c r="H77" s="688">
        <f>ROUND(D77+E77-F77+G77,0)</f>
        <v>0</v>
      </c>
      <c r="I77" s="689">
        <v>0</v>
      </c>
      <c r="J77" s="689">
        <v>0</v>
      </c>
      <c r="K77" s="689">
        <v>0</v>
      </c>
      <c r="L77" s="689">
        <v>0</v>
      </c>
      <c r="M77" s="688">
        <f>H77+I77-J77+K77-L77</f>
        <v>0</v>
      </c>
      <c r="N77" s="688">
        <f t="shared" ref="N77:N85" si="14">ROUND(H77+I77-J77+(K77*0.5)-(L77*0.5),0)</f>
        <v>0</v>
      </c>
      <c r="O77" s="228"/>
      <c r="P77" s="78"/>
    </row>
    <row r="78" spans="1:16" x14ac:dyDescent="0.25">
      <c r="A78" s="78"/>
      <c r="B78" s="506">
        <v>390</v>
      </c>
      <c r="C78" s="477" t="s">
        <v>511</v>
      </c>
      <c r="D78" s="478">
        <f>Data!B145</f>
        <v>5210</v>
      </c>
      <c r="E78" s="480">
        <f>Data!D145</f>
        <v>0</v>
      </c>
      <c r="F78" s="480">
        <f>Data!E145</f>
        <v>0</v>
      </c>
      <c r="G78" s="476">
        <v>0</v>
      </c>
      <c r="H78" s="478">
        <f>ROUND(D78+E78-F78+G78,0)</f>
        <v>5210</v>
      </c>
      <c r="I78" s="476">
        <v>0</v>
      </c>
      <c r="J78" s="476">
        <v>0</v>
      </c>
      <c r="K78" s="476">
        <v>0</v>
      </c>
      <c r="L78" s="476">
        <v>0</v>
      </c>
      <c r="M78" s="478">
        <f>H78+I78-J78+K78-L78</f>
        <v>5210</v>
      </c>
      <c r="N78" s="478">
        <f t="shared" si="14"/>
        <v>5210</v>
      </c>
      <c r="O78" s="228"/>
      <c r="P78" s="78"/>
    </row>
    <row r="79" spans="1:16" x14ac:dyDescent="0.25">
      <c r="A79" s="78"/>
      <c r="B79" s="506">
        <v>391</v>
      </c>
      <c r="C79" s="477" t="s">
        <v>537</v>
      </c>
      <c r="D79" s="478">
        <f>Data!B146</f>
        <v>2146</v>
      </c>
      <c r="E79" s="480">
        <v>707</v>
      </c>
      <c r="F79" s="480">
        <f>Data!E146</f>
        <v>0</v>
      </c>
      <c r="G79" s="476">
        <v>0</v>
      </c>
      <c r="H79" s="478">
        <f t="shared" ref="H79:H88" si="15">ROUND(D79+E79-F79+G79,0)</f>
        <v>2853</v>
      </c>
      <c r="I79" s="476">
        <v>0</v>
      </c>
      <c r="J79" s="476">
        <v>0</v>
      </c>
      <c r="K79" s="476">
        <v>0</v>
      </c>
      <c r="L79" s="476">
        <v>0</v>
      </c>
      <c r="M79" s="478">
        <f t="shared" ref="M79:M85" si="16">H79+I79-J79+K79-L79</f>
        <v>2853</v>
      </c>
      <c r="N79" s="478">
        <f t="shared" si="14"/>
        <v>2853</v>
      </c>
      <c r="O79" s="228"/>
      <c r="P79" s="78"/>
    </row>
    <row r="80" spans="1:16" x14ac:dyDescent="0.25">
      <c r="A80" s="78"/>
      <c r="B80" s="506">
        <v>391.1</v>
      </c>
      <c r="C80" s="477" t="s">
        <v>538</v>
      </c>
      <c r="D80" s="478">
        <f>Data!B147</f>
        <v>19907</v>
      </c>
      <c r="E80" s="480">
        <v>411</v>
      </c>
      <c r="F80" s="480">
        <f>Data!E147</f>
        <v>0</v>
      </c>
      <c r="G80" s="476">
        <v>0</v>
      </c>
      <c r="H80" s="478">
        <f t="shared" si="15"/>
        <v>20318</v>
      </c>
      <c r="I80" s="476">
        <v>0</v>
      </c>
      <c r="J80" s="476">
        <v>0</v>
      </c>
      <c r="K80" s="476">
        <v>0</v>
      </c>
      <c r="L80" s="476">
        <v>0</v>
      </c>
      <c r="M80" s="478">
        <f t="shared" si="16"/>
        <v>20318</v>
      </c>
      <c r="N80" s="478">
        <f t="shared" si="14"/>
        <v>20318</v>
      </c>
      <c r="O80" s="228"/>
      <c r="P80" s="78"/>
    </row>
    <row r="81" spans="1:16" x14ac:dyDescent="0.25">
      <c r="A81" s="78"/>
      <c r="B81" s="506">
        <v>392</v>
      </c>
      <c r="C81" s="477" t="s">
        <v>539</v>
      </c>
      <c r="D81" s="478">
        <f>Data!B148</f>
        <v>21506</v>
      </c>
      <c r="E81" s="480">
        <f>Data!D148</f>
        <v>0</v>
      </c>
      <c r="F81" s="480">
        <f>Data!E148</f>
        <v>0</v>
      </c>
      <c r="G81" s="476">
        <v>0</v>
      </c>
      <c r="H81" s="478">
        <f t="shared" si="15"/>
        <v>21506</v>
      </c>
      <c r="I81" s="476">
        <v>0</v>
      </c>
      <c r="J81" s="476">
        <v>0</v>
      </c>
      <c r="K81" s="476">
        <v>0</v>
      </c>
      <c r="L81" s="476">
        <v>0</v>
      </c>
      <c r="M81" s="478">
        <f t="shared" si="16"/>
        <v>21506</v>
      </c>
      <c r="N81" s="478">
        <f t="shared" si="14"/>
        <v>21506</v>
      </c>
      <c r="O81" s="228"/>
      <c r="P81" s="78"/>
    </row>
    <row r="82" spans="1:16" x14ac:dyDescent="0.25">
      <c r="A82" s="78"/>
      <c r="B82" s="506">
        <v>393</v>
      </c>
      <c r="C82" s="477" t="s">
        <v>540</v>
      </c>
      <c r="D82" s="478">
        <f>Data!B149</f>
        <v>0</v>
      </c>
      <c r="E82" s="480">
        <f>Data!D149</f>
        <v>0</v>
      </c>
      <c r="F82" s="480">
        <f>Data!E149</f>
        <v>0</v>
      </c>
      <c r="G82" s="476">
        <v>0</v>
      </c>
      <c r="H82" s="478">
        <f t="shared" si="15"/>
        <v>0</v>
      </c>
      <c r="I82" s="476">
        <v>0</v>
      </c>
      <c r="J82" s="476">
        <v>0</v>
      </c>
      <c r="K82" s="476">
        <v>0</v>
      </c>
      <c r="L82" s="476">
        <v>0</v>
      </c>
      <c r="M82" s="478">
        <f t="shared" si="16"/>
        <v>0</v>
      </c>
      <c r="N82" s="478">
        <f t="shared" si="14"/>
        <v>0</v>
      </c>
      <c r="O82" s="228"/>
      <c r="P82" s="78"/>
    </row>
    <row r="83" spans="1:16" x14ac:dyDescent="0.25">
      <c r="A83" s="78"/>
      <c r="B83" s="506">
        <v>394</v>
      </c>
      <c r="C83" s="477" t="s">
        <v>541</v>
      </c>
      <c r="D83" s="478">
        <f>Data!B150</f>
        <v>11105</v>
      </c>
      <c r="E83" s="480">
        <v>2760</v>
      </c>
      <c r="F83" s="480">
        <v>1000</v>
      </c>
      <c r="G83" s="476">
        <v>0</v>
      </c>
      <c r="H83" s="478">
        <f t="shared" si="15"/>
        <v>12865</v>
      </c>
      <c r="I83" s="476">
        <v>0</v>
      </c>
      <c r="J83" s="476">
        <v>0</v>
      </c>
      <c r="K83" s="476">
        <v>0</v>
      </c>
      <c r="L83" s="476">
        <v>0</v>
      </c>
      <c r="M83" s="478">
        <f t="shared" si="16"/>
        <v>12865</v>
      </c>
      <c r="N83" s="478">
        <f t="shared" si="14"/>
        <v>12865</v>
      </c>
      <c r="O83" s="228"/>
      <c r="P83" s="78"/>
    </row>
    <row r="84" spans="1:16" x14ac:dyDescent="0.25">
      <c r="A84" s="78"/>
      <c r="B84" s="506">
        <v>395</v>
      </c>
      <c r="C84" s="477" t="s">
        <v>542</v>
      </c>
      <c r="D84" s="478">
        <f>Data!B151</f>
        <v>0</v>
      </c>
      <c r="E84" s="480">
        <f>Data!D151</f>
        <v>0</v>
      </c>
      <c r="F84" s="480">
        <f>Data!E151</f>
        <v>0</v>
      </c>
      <c r="G84" s="476">
        <v>0</v>
      </c>
      <c r="H84" s="478">
        <f t="shared" si="15"/>
        <v>0</v>
      </c>
      <c r="I84" s="476">
        <v>0</v>
      </c>
      <c r="J84" s="476">
        <v>0</v>
      </c>
      <c r="K84" s="476">
        <v>0</v>
      </c>
      <c r="L84" s="476">
        <v>0</v>
      </c>
      <c r="M84" s="478">
        <f t="shared" si="16"/>
        <v>0</v>
      </c>
      <c r="N84" s="478">
        <f t="shared" si="14"/>
        <v>0</v>
      </c>
      <c r="O84" s="228"/>
      <c r="P84" s="78"/>
    </row>
    <row r="85" spans="1:16" x14ac:dyDescent="0.25">
      <c r="A85" s="78"/>
      <c r="B85" s="506">
        <v>396</v>
      </c>
      <c r="C85" s="477" t="s">
        <v>543</v>
      </c>
      <c r="D85" s="478">
        <f>Data!B152</f>
        <v>0</v>
      </c>
      <c r="E85" s="480">
        <f>Data!D152</f>
        <v>0</v>
      </c>
      <c r="F85" s="480">
        <f>Data!E152</f>
        <v>0</v>
      </c>
      <c r="G85" s="476">
        <v>0</v>
      </c>
      <c r="H85" s="478">
        <f t="shared" si="15"/>
        <v>0</v>
      </c>
      <c r="I85" s="476">
        <v>0</v>
      </c>
      <c r="J85" s="476">
        <v>0</v>
      </c>
      <c r="K85" s="476">
        <v>0</v>
      </c>
      <c r="L85" s="476">
        <v>0</v>
      </c>
      <c r="M85" s="478">
        <f t="shared" si="16"/>
        <v>0</v>
      </c>
      <c r="N85" s="478">
        <f t="shared" si="14"/>
        <v>0</v>
      </c>
      <c r="O85" s="228"/>
      <c r="P85" s="78"/>
    </row>
    <row r="86" spans="1:16" x14ac:dyDescent="0.25">
      <c r="A86" s="78"/>
      <c r="B86" s="506">
        <v>397</v>
      </c>
      <c r="C86" s="477" t="s">
        <v>544</v>
      </c>
      <c r="D86" s="478">
        <f>Data!B153</f>
        <v>1500</v>
      </c>
      <c r="E86" s="480">
        <v>0</v>
      </c>
      <c r="F86" s="480">
        <f>Data!E153</f>
        <v>0</v>
      </c>
      <c r="G86" s="476">
        <v>0</v>
      </c>
      <c r="H86" s="478">
        <f t="shared" si="15"/>
        <v>1500</v>
      </c>
      <c r="I86" s="476">
        <v>0</v>
      </c>
      <c r="J86" s="476">
        <v>0</v>
      </c>
      <c r="K86" s="476">
        <v>0</v>
      </c>
      <c r="L86" s="476">
        <v>0</v>
      </c>
      <c r="M86" s="478">
        <f>H86+I86-J86+K86-L86</f>
        <v>1500</v>
      </c>
      <c r="N86" s="478">
        <f>ROUND(H86+I86-J86+(K86*0.5)-(L86*0.5),0)</f>
        <v>1500</v>
      </c>
      <c r="O86" s="228"/>
      <c r="P86" s="78"/>
    </row>
    <row r="87" spans="1:16" x14ac:dyDescent="0.25">
      <c r="A87" s="78"/>
      <c r="B87" s="506">
        <v>397.1</v>
      </c>
      <c r="C87" s="477" t="s">
        <v>545</v>
      </c>
      <c r="D87" s="478">
        <f>Data!B154</f>
        <v>0</v>
      </c>
      <c r="E87" s="480">
        <f>Data!D154</f>
        <v>0</v>
      </c>
      <c r="F87" s="480">
        <f>Data!E154</f>
        <v>0</v>
      </c>
      <c r="G87" s="476">
        <v>0</v>
      </c>
      <c r="H87" s="478">
        <f t="shared" si="15"/>
        <v>0</v>
      </c>
      <c r="I87" s="476">
        <v>0</v>
      </c>
      <c r="J87" s="476">
        <v>0</v>
      </c>
      <c r="K87" s="476">
        <v>0</v>
      </c>
      <c r="L87" s="476">
        <v>0</v>
      </c>
      <c r="M87" s="478">
        <f>H87+I87-J87+K87-L87</f>
        <v>0</v>
      </c>
      <c r="N87" s="478">
        <f>ROUND(H87+I87-J87+(K87*0.5)-(L87*0.5),0)</f>
        <v>0</v>
      </c>
      <c r="O87" s="228"/>
      <c r="P87" s="78"/>
    </row>
    <row r="88" spans="1:16" x14ac:dyDescent="0.25">
      <c r="A88" s="78"/>
      <c r="B88" s="506">
        <v>398</v>
      </c>
      <c r="C88" s="477" t="s">
        <v>546</v>
      </c>
      <c r="D88" s="479">
        <f>Data!B155</f>
        <v>755</v>
      </c>
      <c r="E88" s="690">
        <f>Data!D155</f>
        <v>0</v>
      </c>
      <c r="F88" s="690">
        <f>Data!E155</f>
        <v>0</v>
      </c>
      <c r="G88" s="476">
        <v>0</v>
      </c>
      <c r="H88" s="479">
        <f t="shared" si="15"/>
        <v>755</v>
      </c>
      <c r="I88" s="476">
        <v>0</v>
      </c>
      <c r="J88" s="476">
        <v>0</v>
      </c>
      <c r="K88" s="476">
        <v>0</v>
      </c>
      <c r="L88" s="476">
        <v>0</v>
      </c>
      <c r="M88" s="479">
        <f>H88+I88-J88+K88-L88</f>
        <v>755</v>
      </c>
      <c r="N88" s="479">
        <f>ROUND(H88+I88-J88+(K88*0.5)-(L88*0.5),0)</f>
        <v>755</v>
      </c>
      <c r="O88" s="228"/>
      <c r="P88" s="78"/>
    </row>
    <row r="89" spans="1:16" ht="15.75" customHeight="1" x14ac:dyDescent="0.25">
      <c r="A89" s="78"/>
      <c r="B89" s="506"/>
      <c r="C89" s="477"/>
      <c r="D89" s="477"/>
      <c r="E89" s="477"/>
      <c r="F89" s="477"/>
      <c r="G89" s="477"/>
      <c r="H89" s="477"/>
      <c r="I89" s="477"/>
      <c r="J89" s="477"/>
      <c r="K89" s="477"/>
      <c r="L89" s="477"/>
      <c r="M89" s="477"/>
      <c r="N89" s="538"/>
      <c r="O89" s="228"/>
      <c r="P89" s="78"/>
    </row>
    <row r="90" spans="1:16" ht="15.75" customHeight="1" x14ac:dyDescent="0.25">
      <c r="A90" s="78"/>
      <c r="B90" s="504"/>
      <c r="C90" s="477" t="s">
        <v>547</v>
      </c>
      <c r="D90" s="688">
        <f t="shared" ref="D90:N90" si="17">SUM(D77:D88)</f>
        <v>62129</v>
      </c>
      <c r="E90" s="688">
        <f t="shared" si="17"/>
        <v>3878</v>
      </c>
      <c r="F90" s="688">
        <f t="shared" si="17"/>
        <v>1000</v>
      </c>
      <c r="G90" s="688">
        <f t="shared" si="17"/>
        <v>0</v>
      </c>
      <c r="H90" s="688">
        <f t="shared" si="17"/>
        <v>65007</v>
      </c>
      <c r="I90" s="688">
        <f t="shared" si="17"/>
        <v>0</v>
      </c>
      <c r="J90" s="688">
        <f t="shared" si="17"/>
        <v>0</v>
      </c>
      <c r="K90" s="688">
        <f t="shared" si="17"/>
        <v>0</v>
      </c>
      <c r="L90" s="688">
        <f t="shared" si="17"/>
        <v>0</v>
      </c>
      <c r="M90" s="688">
        <f t="shared" si="17"/>
        <v>65007</v>
      </c>
      <c r="N90" s="703">
        <f t="shared" si="17"/>
        <v>65007</v>
      </c>
      <c r="O90" s="228"/>
      <c r="P90" s="78"/>
    </row>
    <row r="91" spans="1:16" ht="15.75" customHeight="1" x14ac:dyDescent="0.25">
      <c r="A91" s="78"/>
      <c r="B91" s="504"/>
      <c r="C91" s="477"/>
      <c r="D91" s="784" t="s">
        <v>508</v>
      </c>
      <c r="E91" s="785" t="s">
        <v>508</v>
      </c>
      <c r="F91" s="785" t="s">
        <v>508</v>
      </c>
      <c r="G91" s="785"/>
      <c r="H91" s="785" t="s">
        <v>508</v>
      </c>
      <c r="I91" s="785" t="s">
        <v>508</v>
      </c>
      <c r="J91" s="785" t="s">
        <v>508</v>
      </c>
      <c r="K91" s="785" t="s">
        <v>508</v>
      </c>
      <c r="L91" s="785" t="s">
        <v>508</v>
      </c>
      <c r="M91" s="785" t="s">
        <v>508</v>
      </c>
      <c r="N91" s="538"/>
      <c r="O91" s="228"/>
      <c r="P91" s="78"/>
    </row>
    <row r="92" spans="1:16" ht="13.8" thickBot="1" x14ac:dyDescent="0.3">
      <c r="A92" s="78"/>
      <c r="B92" s="504"/>
      <c r="C92" s="477" t="s">
        <v>548</v>
      </c>
      <c r="D92" s="539">
        <f t="shared" ref="D92:N92" si="18">SUM(D21+D32+D42+D51+D73+D90)</f>
        <v>1824745</v>
      </c>
      <c r="E92" s="539">
        <f t="shared" si="18"/>
        <v>643436</v>
      </c>
      <c r="F92" s="539">
        <f t="shared" si="18"/>
        <v>84290</v>
      </c>
      <c r="G92" s="539">
        <f t="shared" si="18"/>
        <v>0</v>
      </c>
      <c r="H92" s="539">
        <f t="shared" si="18"/>
        <v>2383891</v>
      </c>
      <c r="I92" s="539">
        <f t="shared" si="18"/>
        <v>0</v>
      </c>
      <c r="J92" s="539">
        <f t="shared" si="18"/>
        <v>0</v>
      </c>
      <c r="K92" s="539">
        <f t="shared" si="18"/>
        <v>787505</v>
      </c>
      <c r="L92" s="539">
        <f t="shared" si="18"/>
        <v>178240</v>
      </c>
      <c r="M92" s="539">
        <f t="shared" si="18"/>
        <v>2993156</v>
      </c>
      <c r="N92" s="539">
        <f t="shared" si="18"/>
        <v>2688524</v>
      </c>
      <c r="O92" s="228"/>
      <c r="P92" s="78"/>
    </row>
    <row r="93" spans="1:16" ht="13.8" thickTop="1" x14ac:dyDescent="0.25">
      <c r="A93" s="78"/>
      <c r="B93" s="506"/>
      <c r="C93" s="477"/>
      <c r="D93" s="538"/>
      <c r="E93" s="538"/>
      <c r="F93" s="538"/>
      <c r="G93" s="538"/>
      <c r="H93" s="538"/>
      <c r="I93" s="538"/>
      <c r="J93" s="538"/>
      <c r="K93" s="538"/>
      <c r="L93" s="538"/>
      <c r="M93" s="538"/>
      <c r="N93" s="477"/>
      <c r="O93" s="228"/>
      <c r="P93" s="78"/>
    </row>
    <row r="94" spans="1:16" ht="12.75" customHeight="1" x14ac:dyDescent="0.25">
      <c r="A94" s="78"/>
      <c r="B94" s="506"/>
      <c r="C94" s="477"/>
      <c r="D94" s="477"/>
      <c r="E94" s="477"/>
      <c r="F94" s="477"/>
      <c r="G94" s="477"/>
      <c r="H94" s="477"/>
      <c r="I94" s="477"/>
      <c r="J94" s="477"/>
      <c r="K94" s="481" t="s">
        <v>907</v>
      </c>
      <c r="L94" s="477"/>
      <c r="M94" s="477"/>
      <c r="N94" s="477"/>
      <c r="O94" s="228"/>
      <c r="P94" s="78"/>
    </row>
    <row r="95" spans="1:16" x14ac:dyDescent="0.25">
      <c r="A95" s="78"/>
      <c r="B95" s="504"/>
      <c r="C95" s="477"/>
      <c r="D95" s="477"/>
      <c r="E95" s="477"/>
      <c r="F95" s="477"/>
      <c r="G95" s="477"/>
      <c r="H95" s="477"/>
      <c r="I95" s="477"/>
      <c r="J95" s="477"/>
      <c r="K95" s="2542" t="s">
        <v>964</v>
      </c>
      <c r="L95" s="2553"/>
      <c r="M95" s="2553"/>
      <c r="N95" s="2554"/>
      <c r="O95" s="228"/>
      <c r="P95" s="78"/>
    </row>
    <row r="96" spans="1:16" x14ac:dyDescent="0.25">
      <c r="A96" s="78"/>
      <c r="B96" s="506"/>
      <c r="C96" s="477"/>
      <c r="D96" s="477"/>
      <c r="E96" s="477"/>
      <c r="F96" s="477"/>
      <c r="G96" s="477"/>
      <c r="H96" s="477"/>
      <c r="I96" s="477"/>
      <c r="J96" s="477"/>
      <c r="K96" s="2555"/>
      <c r="L96" s="2556"/>
      <c r="M96" s="2556"/>
      <c r="N96" s="2557"/>
      <c r="O96" s="228"/>
      <c r="P96" s="78"/>
    </row>
    <row r="97" spans="1:16" x14ac:dyDescent="0.25">
      <c r="A97" s="78"/>
      <c r="B97" s="504"/>
      <c r="C97" s="477"/>
      <c r="D97" s="477"/>
      <c r="E97" s="477"/>
      <c r="F97" s="477"/>
      <c r="G97" s="477"/>
      <c r="H97" s="477"/>
      <c r="I97" s="477"/>
      <c r="J97" s="477"/>
      <c r="K97" s="2558"/>
      <c r="L97" s="2559"/>
      <c r="M97" s="2559"/>
      <c r="N97" s="2560"/>
      <c r="O97" s="228"/>
      <c r="P97" s="78"/>
    </row>
    <row r="98" spans="1:16" x14ac:dyDescent="0.25">
      <c r="A98" s="78"/>
      <c r="B98" s="2465" t="s">
        <v>1232</v>
      </c>
      <c r="C98" s="2360"/>
      <c r="D98" s="2360"/>
      <c r="E98" s="2360"/>
      <c r="F98" s="2360"/>
      <c r="G98" s="2360"/>
      <c r="H98" s="2360"/>
      <c r="I98" s="2360"/>
      <c r="J98" s="2360"/>
      <c r="K98" s="2360"/>
      <c r="L98" s="2360"/>
      <c r="M98" s="2360"/>
      <c r="N98" s="2360"/>
      <c r="O98" s="2466"/>
      <c r="P98" s="78"/>
    </row>
    <row r="99" spans="1:16" x14ac:dyDescent="0.25">
      <c r="A99" s="78"/>
      <c r="B99" s="2465"/>
      <c r="C99" s="2360"/>
      <c r="D99" s="2360"/>
      <c r="E99" s="2360"/>
      <c r="F99" s="2360"/>
      <c r="G99" s="2360"/>
      <c r="H99" s="2360"/>
      <c r="I99" s="2360"/>
      <c r="J99" s="2360"/>
      <c r="K99" s="2360"/>
      <c r="L99" s="2360"/>
      <c r="M99" s="2360"/>
      <c r="N99" s="2360"/>
      <c r="O99" s="2466"/>
      <c r="P99" s="78"/>
    </row>
    <row r="100" spans="1:16" x14ac:dyDescent="0.25">
      <c r="A100" s="78"/>
      <c r="B100" s="378"/>
      <c r="C100" s="2542" t="s">
        <v>1537</v>
      </c>
      <c r="D100" s="2543"/>
      <c r="E100" s="2543"/>
      <c r="F100" s="2543"/>
      <c r="G100" s="2543"/>
      <c r="H100" s="2543"/>
      <c r="I100" s="2543"/>
      <c r="J100" s="2543"/>
      <c r="K100" s="2543"/>
      <c r="L100" s="2543"/>
      <c r="M100" s="2543"/>
      <c r="N100" s="2544"/>
      <c r="O100" s="228"/>
      <c r="P100" s="78"/>
    </row>
    <row r="101" spans="1:16" x14ac:dyDescent="0.25">
      <c r="A101" s="78"/>
      <c r="B101" s="378"/>
      <c r="C101" s="2545"/>
      <c r="D101" s="2546"/>
      <c r="E101" s="2546"/>
      <c r="F101" s="2546"/>
      <c r="G101" s="2546"/>
      <c r="H101" s="2546"/>
      <c r="I101" s="2546"/>
      <c r="J101" s="2546"/>
      <c r="K101" s="2546"/>
      <c r="L101" s="2546"/>
      <c r="M101" s="2546"/>
      <c r="N101" s="2547"/>
      <c r="O101" s="228"/>
      <c r="P101" s="78"/>
    </row>
    <row r="102" spans="1:16" x14ac:dyDescent="0.25">
      <c r="A102" s="78"/>
      <c r="B102" s="378"/>
      <c r="C102" s="2545"/>
      <c r="D102" s="2546"/>
      <c r="E102" s="2546"/>
      <c r="F102" s="2546"/>
      <c r="G102" s="2546"/>
      <c r="H102" s="2546"/>
      <c r="I102" s="2546"/>
      <c r="J102" s="2546"/>
      <c r="K102" s="2546"/>
      <c r="L102" s="2546"/>
      <c r="M102" s="2546"/>
      <c r="N102" s="2547"/>
      <c r="O102" s="228"/>
      <c r="P102" s="78"/>
    </row>
    <row r="103" spans="1:16" x14ac:dyDescent="0.25">
      <c r="A103" s="78"/>
      <c r="B103" s="378"/>
      <c r="C103" s="2545"/>
      <c r="D103" s="2546"/>
      <c r="E103" s="2546"/>
      <c r="F103" s="2546"/>
      <c r="G103" s="2546"/>
      <c r="H103" s="2546"/>
      <c r="I103" s="2546"/>
      <c r="J103" s="2546"/>
      <c r="K103" s="2546"/>
      <c r="L103" s="2546"/>
      <c r="M103" s="2546"/>
      <c r="N103" s="2547"/>
      <c r="O103" s="228"/>
      <c r="P103" s="78"/>
    </row>
    <row r="104" spans="1:16" x14ac:dyDescent="0.25">
      <c r="A104" s="78"/>
      <c r="B104" s="378"/>
      <c r="C104" s="2545"/>
      <c r="D104" s="2546"/>
      <c r="E104" s="2546"/>
      <c r="F104" s="2546"/>
      <c r="G104" s="2546"/>
      <c r="H104" s="2546"/>
      <c r="I104" s="2546"/>
      <c r="J104" s="2546"/>
      <c r="K104" s="2546"/>
      <c r="L104" s="2546"/>
      <c r="M104" s="2546"/>
      <c r="N104" s="2547"/>
      <c r="O104" s="228"/>
      <c r="P104" s="78"/>
    </row>
    <row r="105" spans="1:16" x14ac:dyDescent="0.25">
      <c r="A105" s="78"/>
      <c r="B105" s="378"/>
      <c r="C105" s="2545"/>
      <c r="D105" s="2546"/>
      <c r="E105" s="2546"/>
      <c r="F105" s="2546"/>
      <c r="G105" s="2546"/>
      <c r="H105" s="2546"/>
      <c r="I105" s="2546"/>
      <c r="J105" s="2546"/>
      <c r="K105" s="2546"/>
      <c r="L105" s="2546"/>
      <c r="M105" s="2546"/>
      <c r="N105" s="2547"/>
      <c r="O105" s="228"/>
      <c r="P105" s="78"/>
    </row>
    <row r="106" spans="1:16" x14ac:dyDescent="0.25">
      <c r="A106" s="78"/>
      <c r="B106" s="378"/>
      <c r="C106" s="2545"/>
      <c r="D106" s="2546"/>
      <c r="E106" s="2546"/>
      <c r="F106" s="2546"/>
      <c r="G106" s="2546"/>
      <c r="H106" s="2546"/>
      <c r="I106" s="2546"/>
      <c r="J106" s="2546"/>
      <c r="K106" s="2546"/>
      <c r="L106" s="2546"/>
      <c r="M106" s="2546"/>
      <c r="N106" s="2547"/>
      <c r="O106" s="228"/>
      <c r="P106" s="78"/>
    </row>
    <row r="107" spans="1:16" x14ac:dyDescent="0.25">
      <c r="A107" s="78"/>
      <c r="B107" s="378"/>
      <c r="C107" s="2545"/>
      <c r="D107" s="2546"/>
      <c r="E107" s="2546"/>
      <c r="F107" s="2546"/>
      <c r="G107" s="2546"/>
      <c r="H107" s="2546"/>
      <c r="I107" s="2546"/>
      <c r="J107" s="2546"/>
      <c r="K107" s="2546"/>
      <c r="L107" s="2546"/>
      <c r="M107" s="2546"/>
      <c r="N107" s="2547"/>
      <c r="O107" s="228"/>
      <c r="P107" s="78"/>
    </row>
    <row r="108" spans="1:16" x14ac:dyDescent="0.25">
      <c r="A108" s="78"/>
      <c r="B108" s="378"/>
      <c r="C108" s="2545"/>
      <c r="D108" s="2546"/>
      <c r="E108" s="2546"/>
      <c r="F108" s="2546"/>
      <c r="G108" s="2546"/>
      <c r="H108" s="2546"/>
      <c r="I108" s="2546"/>
      <c r="J108" s="2546"/>
      <c r="K108" s="2546"/>
      <c r="L108" s="2546"/>
      <c r="M108" s="2546"/>
      <c r="N108" s="2547"/>
      <c r="O108" s="228"/>
      <c r="P108" s="78"/>
    </row>
    <row r="109" spans="1:16" x14ac:dyDescent="0.25">
      <c r="A109" s="78"/>
      <c r="B109" s="378"/>
      <c r="C109" s="2545"/>
      <c r="D109" s="2546"/>
      <c r="E109" s="2546"/>
      <c r="F109" s="2546"/>
      <c r="G109" s="2546"/>
      <c r="H109" s="2546"/>
      <c r="I109" s="2546"/>
      <c r="J109" s="2546"/>
      <c r="K109" s="2546"/>
      <c r="L109" s="2546"/>
      <c r="M109" s="2546"/>
      <c r="N109" s="2547"/>
      <c r="O109" s="228"/>
      <c r="P109" s="78"/>
    </row>
    <row r="110" spans="1:16" x14ac:dyDescent="0.25">
      <c r="A110" s="78"/>
      <c r="B110" s="378"/>
      <c r="C110" s="2545"/>
      <c r="D110" s="2546"/>
      <c r="E110" s="2546"/>
      <c r="F110" s="2546"/>
      <c r="G110" s="2546"/>
      <c r="H110" s="2546"/>
      <c r="I110" s="2546"/>
      <c r="J110" s="2546"/>
      <c r="K110" s="2546"/>
      <c r="L110" s="2546"/>
      <c r="M110" s="2546"/>
      <c r="N110" s="2547"/>
      <c r="O110" s="228"/>
      <c r="P110" s="78"/>
    </row>
    <row r="111" spans="1:16" x14ac:dyDescent="0.25">
      <c r="A111" s="78"/>
      <c r="B111" s="378"/>
      <c r="C111" s="2548"/>
      <c r="D111" s="2549"/>
      <c r="E111" s="2549"/>
      <c r="F111" s="2549"/>
      <c r="G111" s="2549"/>
      <c r="H111" s="2549"/>
      <c r="I111" s="2549"/>
      <c r="J111" s="2549"/>
      <c r="K111" s="2549"/>
      <c r="L111" s="2549"/>
      <c r="M111" s="2549"/>
      <c r="N111" s="2550"/>
      <c r="O111" s="228"/>
      <c r="P111" s="78"/>
    </row>
    <row r="112" spans="1:16" x14ac:dyDescent="0.25">
      <c r="A112" s="78"/>
      <c r="B112" s="504"/>
      <c r="C112" s="535"/>
      <c r="D112" s="477"/>
      <c r="E112" s="477"/>
      <c r="F112" s="477"/>
      <c r="G112" s="477"/>
      <c r="H112" s="477"/>
      <c r="I112" s="477"/>
      <c r="J112" s="477"/>
      <c r="K112" s="477"/>
      <c r="L112" s="477"/>
      <c r="M112" s="477"/>
      <c r="N112" s="477"/>
      <c r="O112" s="228"/>
      <c r="P112" s="78"/>
    </row>
    <row r="113" spans="1:16" ht="13.8" thickBot="1" x14ac:dyDescent="0.3">
      <c r="A113" s="78"/>
      <c r="B113" s="634"/>
      <c r="C113" s="798"/>
      <c r="D113" s="231"/>
      <c r="E113" s="231"/>
      <c r="F113" s="231"/>
      <c r="G113" s="231"/>
      <c r="H113" s="606"/>
      <c r="I113" s="606"/>
      <c r="J113" s="606"/>
      <c r="K113" s="231"/>
      <c r="L113" s="231"/>
      <c r="M113" s="606"/>
      <c r="N113" s="231"/>
      <c r="O113" s="232"/>
      <c r="P113" s="78"/>
    </row>
    <row r="114" spans="1:16" ht="13.8" thickTop="1" x14ac:dyDescent="0.25">
      <c r="A114" s="78"/>
      <c r="B114" s="468"/>
      <c r="C114" s="768"/>
      <c r="D114" s="78"/>
      <c r="E114" s="78"/>
      <c r="F114" s="78"/>
      <c r="G114" s="78"/>
      <c r="H114" s="79"/>
      <c r="I114" s="79"/>
      <c r="J114" s="79"/>
      <c r="K114" s="78"/>
      <c r="L114" s="78"/>
      <c r="M114" s="79"/>
      <c r="N114" s="78"/>
      <c r="O114" s="78"/>
      <c r="P114" s="78"/>
    </row>
    <row r="115" spans="1:16" x14ac:dyDescent="0.25">
      <c r="A115" s="78"/>
      <c r="B115" s="468"/>
      <c r="C115" s="78"/>
      <c r="D115" s="78"/>
      <c r="E115" s="78"/>
      <c r="F115" s="78"/>
      <c r="G115" s="78"/>
      <c r="H115" s="79"/>
      <c r="I115" s="79"/>
      <c r="J115" s="79"/>
      <c r="K115" s="78"/>
      <c r="L115" s="78"/>
      <c r="M115" s="79"/>
      <c r="N115" s="78"/>
      <c r="O115" s="78"/>
      <c r="P115" s="78"/>
    </row>
    <row r="116" spans="1:16" x14ac:dyDescent="0.25">
      <c r="A116" s="78"/>
      <c r="B116" s="468"/>
      <c r="C116" s="78"/>
      <c r="D116" s="78"/>
      <c r="E116" s="78"/>
      <c r="F116" s="78"/>
      <c r="G116" s="78"/>
      <c r="H116" s="79"/>
      <c r="I116" s="79"/>
      <c r="J116" s="79"/>
      <c r="K116" s="78"/>
      <c r="L116" s="78"/>
      <c r="M116" s="79"/>
      <c r="N116" s="78"/>
      <c r="O116" s="78"/>
      <c r="P116" s="78"/>
    </row>
    <row r="117" spans="1:16" s="1708" customFormat="1" ht="18.75" customHeight="1" x14ac:dyDescent="0.25">
      <c r="A117" s="78"/>
      <c r="B117" s="468"/>
      <c r="C117" s="78"/>
      <c r="D117" s="78"/>
      <c r="E117" s="78"/>
      <c r="F117" s="78"/>
      <c r="G117" s="78"/>
      <c r="H117" s="79"/>
      <c r="I117" s="79"/>
      <c r="J117" s="79"/>
      <c r="K117" s="78"/>
      <c r="L117" s="78"/>
      <c r="M117" s="79"/>
      <c r="N117" s="78"/>
      <c r="O117" s="78"/>
      <c r="P117" s="78"/>
    </row>
    <row r="118" spans="1:16" s="1708" customFormat="1" x14ac:dyDescent="0.25">
      <c r="B118" s="1864"/>
      <c r="H118" s="1859"/>
      <c r="I118" s="1859"/>
      <c r="J118" s="1859"/>
      <c r="M118" s="1859"/>
    </row>
    <row r="119" spans="1:16" s="1708" customFormat="1" x14ac:dyDescent="0.25">
      <c r="B119" s="1864"/>
      <c r="H119" s="1859"/>
      <c r="I119" s="1859"/>
      <c r="J119" s="1859"/>
      <c r="M119" s="1859"/>
    </row>
    <row r="120" spans="1:16" s="1708" customFormat="1" x14ac:dyDescent="0.25">
      <c r="B120" s="1864"/>
      <c r="H120" s="1859"/>
      <c r="I120" s="1859"/>
      <c r="J120" s="1859"/>
      <c r="M120" s="1859"/>
    </row>
    <row r="121" spans="1:16" s="1708" customFormat="1" x14ac:dyDescent="0.25">
      <c r="B121" s="1864"/>
      <c r="H121" s="1859"/>
      <c r="I121" s="1859"/>
      <c r="J121" s="1859"/>
      <c r="M121" s="1859"/>
    </row>
    <row r="122" spans="1:16" s="1708" customFormat="1" x14ac:dyDescent="0.25">
      <c r="B122" s="1864"/>
      <c r="H122" s="1859"/>
      <c r="I122" s="1859"/>
      <c r="J122" s="1859"/>
      <c r="M122" s="1859"/>
    </row>
    <row r="123" spans="1:16" s="1708" customFormat="1" x14ac:dyDescent="0.25">
      <c r="B123" s="1864"/>
      <c r="H123" s="1859"/>
      <c r="I123" s="1859"/>
      <c r="J123" s="1859"/>
      <c r="M123" s="1859"/>
    </row>
    <row r="124" spans="1:16" s="1708" customFormat="1" x14ac:dyDescent="0.25">
      <c r="B124" s="1864"/>
      <c r="H124" s="1859"/>
      <c r="I124" s="1859"/>
      <c r="J124" s="1859"/>
      <c r="M124" s="1859"/>
    </row>
    <row r="125" spans="1:16" s="1708" customFormat="1" x14ac:dyDescent="0.25">
      <c r="B125" s="1864"/>
      <c r="H125" s="1859"/>
      <c r="I125" s="1859"/>
      <c r="J125" s="1859"/>
      <c r="M125" s="1859"/>
    </row>
    <row r="126" spans="1:16" s="1708" customFormat="1" x14ac:dyDescent="0.25">
      <c r="B126" s="1864"/>
      <c r="H126" s="1859"/>
      <c r="I126" s="1859"/>
      <c r="J126" s="1859"/>
      <c r="M126" s="1859"/>
    </row>
    <row r="127" spans="1:16" s="1708" customFormat="1" x14ac:dyDescent="0.25">
      <c r="B127" s="1864"/>
      <c r="H127" s="1859"/>
      <c r="I127" s="1859"/>
      <c r="J127" s="1859"/>
      <c r="M127" s="1859"/>
    </row>
    <row r="128" spans="1:16" s="1708" customFormat="1" x14ac:dyDescent="0.25">
      <c r="B128" s="1864"/>
      <c r="H128" s="1859"/>
      <c r="I128" s="1859"/>
      <c r="J128" s="1859"/>
      <c r="M128" s="1859"/>
    </row>
    <row r="129" spans="2:13" s="1708" customFormat="1" x14ac:dyDescent="0.25">
      <c r="B129" s="1864"/>
      <c r="H129" s="1859"/>
      <c r="I129" s="1859"/>
      <c r="J129" s="1859"/>
      <c r="M129" s="1859"/>
    </row>
    <row r="130" spans="2:13" s="1708" customFormat="1" x14ac:dyDescent="0.25">
      <c r="B130" s="1864"/>
      <c r="H130" s="1859"/>
      <c r="I130" s="1859"/>
      <c r="J130" s="1859"/>
      <c r="M130" s="1859"/>
    </row>
    <row r="131" spans="2:13" s="1708" customFormat="1" x14ac:dyDescent="0.25">
      <c r="B131" s="1864"/>
      <c r="H131" s="1859"/>
      <c r="I131" s="1859"/>
      <c r="J131" s="1859"/>
      <c r="M131" s="1859"/>
    </row>
    <row r="132" spans="2:13" s="1708" customFormat="1" x14ac:dyDescent="0.25">
      <c r="B132" s="1864"/>
      <c r="H132" s="1859"/>
      <c r="I132" s="1859"/>
      <c r="J132" s="1859"/>
      <c r="M132" s="1859"/>
    </row>
    <row r="133" spans="2:13" s="1708" customFormat="1" x14ac:dyDescent="0.25">
      <c r="B133" s="1864"/>
      <c r="H133" s="1859"/>
      <c r="I133" s="1859"/>
      <c r="J133" s="1859"/>
      <c r="M133" s="1859"/>
    </row>
    <row r="134" spans="2:13" s="1708" customFormat="1" x14ac:dyDescent="0.25">
      <c r="B134" s="1864"/>
      <c r="H134" s="1859"/>
      <c r="I134" s="1859"/>
      <c r="J134" s="1859"/>
      <c r="M134" s="1859"/>
    </row>
    <row r="135" spans="2:13" s="1708" customFormat="1" x14ac:dyDescent="0.25">
      <c r="B135" s="1864"/>
      <c r="H135" s="1859"/>
      <c r="I135" s="1859"/>
      <c r="J135" s="1859"/>
      <c r="M135" s="1859"/>
    </row>
    <row r="136" spans="2:13" s="1708" customFormat="1" x14ac:dyDescent="0.25">
      <c r="B136" s="1864"/>
      <c r="H136" s="1859"/>
      <c r="I136" s="1859"/>
      <c r="J136" s="1859"/>
      <c r="M136" s="1859"/>
    </row>
    <row r="137" spans="2:13" s="1708" customFormat="1" x14ac:dyDescent="0.25">
      <c r="B137" s="1864"/>
      <c r="H137" s="1859"/>
      <c r="I137" s="1859"/>
      <c r="J137" s="1859"/>
      <c r="M137" s="1859"/>
    </row>
    <row r="138" spans="2:13" s="1708" customFormat="1" x14ac:dyDescent="0.25">
      <c r="B138" s="1864"/>
      <c r="H138" s="1859"/>
      <c r="I138" s="1859"/>
      <c r="J138" s="1859"/>
      <c r="M138" s="1859"/>
    </row>
    <row r="139" spans="2:13" s="1708" customFormat="1" x14ac:dyDescent="0.25">
      <c r="B139" s="1864"/>
      <c r="H139" s="1859"/>
      <c r="I139" s="1859"/>
      <c r="J139" s="1859"/>
      <c r="M139" s="1859"/>
    </row>
    <row r="140" spans="2:13" s="1708" customFormat="1" x14ac:dyDescent="0.25">
      <c r="B140" s="1864"/>
      <c r="H140" s="1859"/>
      <c r="I140" s="1859"/>
      <c r="J140" s="1859"/>
      <c r="M140" s="1859"/>
    </row>
    <row r="141" spans="2:13" s="1708" customFormat="1" x14ac:dyDescent="0.25">
      <c r="B141" s="1864"/>
      <c r="H141" s="1859"/>
      <c r="I141" s="1859"/>
      <c r="J141" s="1859"/>
      <c r="M141" s="1859"/>
    </row>
    <row r="142" spans="2:13" s="1708" customFormat="1" x14ac:dyDescent="0.25">
      <c r="B142" s="1864"/>
      <c r="H142" s="1859"/>
      <c r="I142" s="1859"/>
      <c r="J142" s="1859"/>
      <c r="M142" s="1859"/>
    </row>
    <row r="143" spans="2:13" s="1708" customFormat="1" x14ac:dyDescent="0.25">
      <c r="B143" s="1864"/>
      <c r="H143" s="1859"/>
      <c r="I143" s="1859"/>
      <c r="J143" s="1859"/>
      <c r="M143" s="1859"/>
    </row>
    <row r="144" spans="2:13" s="1708" customFormat="1" x14ac:dyDescent="0.25">
      <c r="B144" s="1864"/>
      <c r="H144" s="1859"/>
      <c r="I144" s="1859"/>
      <c r="J144" s="1859"/>
      <c r="M144" s="1859"/>
    </row>
    <row r="145" spans="2:13" s="1708" customFormat="1" x14ac:dyDescent="0.25">
      <c r="B145" s="1864"/>
      <c r="H145" s="1859"/>
      <c r="I145" s="1859"/>
      <c r="J145" s="1859"/>
      <c r="M145" s="1859"/>
    </row>
    <row r="146" spans="2:13" s="1708" customFormat="1" x14ac:dyDescent="0.25">
      <c r="B146" s="1864"/>
      <c r="H146" s="1859"/>
      <c r="I146" s="1859"/>
      <c r="J146" s="1859"/>
      <c r="M146" s="1859"/>
    </row>
    <row r="147" spans="2:13" s="1708" customFormat="1" x14ac:dyDescent="0.25">
      <c r="B147" s="1864"/>
      <c r="H147" s="1859"/>
      <c r="I147" s="1859"/>
      <c r="J147" s="1859"/>
      <c r="M147" s="1859"/>
    </row>
    <row r="148" spans="2:13" s="1708" customFormat="1" x14ac:dyDescent="0.25">
      <c r="B148" s="1864"/>
      <c r="H148" s="1859"/>
      <c r="I148" s="1859"/>
      <c r="J148" s="1859"/>
      <c r="M148" s="1859"/>
    </row>
    <row r="149" spans="2:13" s="1708" customFormat="1" x14ac:dyDescent="0.25">
      <c r="B149" s="1864"/>
      <c r="H149" s="1859"/>
      <c r="I149" s="1859"/>
      <c r="J149" s="1859"/>
      <c r="M149" s="1859"/>
    </row>
    <row r="150" spans="2:13" s="1708" customFormat="1" x14ac:dyDescent="0.25">
      <c r="B150" s="1864"/>
      <c r="H150" s="1859"/>
      <c r="I150" s="1859"/>
      <c r="J150" s="1859"/>
      <c r="M150" s="1859"/>
    </row>
    <row r="151" spans="2:13" s="1708" customFormat="1" x14ac:dyDescent="0.25">
      <c r="B151" s="1864"/>
      <c r="H151" s="1859"/>
      <c r="I151" s="1859"/>
      <c r="J151" s="1859"/>
      <c r="M151" s="1859"/>
    </row>
    <row r="152" spans="2:13" s="1708" customFormat="1" x14ac:dyDescent="0.25">
      <c r="B152" s="1864"/>
      <c r="H152" s="1859"/>
      <c r="I152" s="1859"/>
      <c r="J152" s="1859"/>
      <c r="M152" s="1859"/>
    </row>
    <row r="153" spans="2:13" s="1708" customFormat="1" x14ac:dyDescent="0.25">
      <c r="B153" s="1864"/>
      <c r="H153" s="1859"/>
      <c r="I153" s="1859"/>
      <c r="J153" s="1859"/>
      <c r="M153" s="1859"/>
    </row>
    <row r="154" spans="2:13" s="1708" customFormat="1" x14ac:dyDescent="0.25">
      <c r="B154" s="1864"/>
      <c r="H154" s="1859"/>
      <c r="I154" s="1859"/>
      <c r="J154" s="1859"/>
      <c r="M154" s="1859"/>
    </row>
    <row r="155" spans="2:13" s="1708" customFormat="1" x14ac:dyDescent="0.25">
      <c r="B155" s="1864"/>
      <c r="H155" s="1859"/>
      <c r="I155" s="1859"/>
      <c r="J155" s="1859"/>
      <c r="M155" s="1859"/>
    </row>
    <row r="156" spans="2:13" s="1708" customFormat="1" x14ac:dyDescent="0.25">
      <c r="B156" s="1864"/>
      <c r="H156" s="1859"/>
      <c r="I156" s="1859"/>
      <c r="J156" s="1859"/>
      <c r="M156" s="1859"/>
    </row>
    <row r="157" spans="2:13" s="1708" customFormat="1" x14ac:dyDescent="0.25">
      <c r="B157" s="1864"/>
      <c r="H157" s="1859"/>
      <c r="I157" s="1859"/>
      <c r="J157" s="1859"/>
      <c r="M157" s="1859"/>
    </row>
    <row r="158" spans="2:13" s="1708" customFormat="1" x14ac:dyDescent="0.25">
      <c r="B158" s="1864"/>
      <c r="H158" s="1859"/>
      <c r="I158" s="1859"/>
      <c r="J158" s="1859"/>
      <c r="M158" s="1859"/>
    </row>
    <row r="159" spans="2:13" s="1708" customFormat="1" x14ac:dyDescent="0.25">
      <c r="B159" s="1864"/>
      <c r="H159" s="1859"/>
      <c r="I159" s="1859"/>
      <c r="J159" s="1859"/>
      <c r="M159" s="1859"/>
    </row>
    <row r="160" spans="2:13" s="1708" customFormat="1" x14ac:dyDescent="0.25">
      <c r="B160" s="1864"/>
      <c r="H160" s="1859"/>
      <c r="I160" s="1859"/>
      <c r="J160" s="1859"/>
      <c r="M160" s="1859"/>
    </row>
    <row r="161" spans="2:13" s="1708" customFormat="1" x14ac:dyDescent="0.25">
      <c r="B161" s="1864"/>
      <c r="H161" s="1859"/>
      <c r="I161" s="1859"/>
      <c r="J161" s="1859"/>
      <c r="M161" s="1859"/>
    </row>
    <row r="162" spans="2:13" s="1708" customFormat="1" x14ac:dyDescent="0.25">
      <c r="B162" s="1864"/>
      <c r="H162" s="1859"/>
      <c r="I162" s="1859"/>
      <c r="J162" s="1859"/>
      <c r="M162" s="1859"/>
    </row>
    <row r="163" spans="2:13" s="1708" customFormat="1" x14ac:dyDescent="0.25">
      <c r="B163" s="1864"/>
      <c r="H163" s="1859"/>
      <c r="I163" s="1859"/>
      <c r="J163" s="1859"/>
      <c r="M163" s="1859"/>
    </row>
    <row r="164" spans="2:13" s="1708" customFormat="1" x14ac:dyDescent="0.25">
      <c r="B164" s="1864"/>
      <c r="H164" s="1859"/>
      <c r="I164" s="1859"/>
      <c r="J164" s="1859"/>
      <c r="M164" s="1859"/>
    </row>
    <row r="165" spans="2:13" s="1708" customFormat="1" x14ac:dyDescent="0.25">
      <c r="B165" s="1864"/>
      <c r="H165" s="1859"/>
      <c r="I165" s="1859"/>
      <c r="J165" s="1859"/>
      <c r="M165" s="1859"/>
    </row>
    <row r="166" spans="2:13" s="1708" customFormat="1" x14ac:dyDescent="0.25">
      <c r="B166" s="1864"/>
      <c r="H166" s="1859"/>
      <c r="I166" s="1859"/>
      <c r="J166" s="1859"/>
      <c r="M166" s="1859"/>
    </row>
    <row r="167" spans="2:13" s="1708" customFormat="1" x14ac:dyDescent="0.25">
      <c r="B167" s="1864"/>
      <c r="H167" s="1859"/>
      <c r="I167" s="1859"/>
      <c r="J167" s="1859"/>
      <c r="M167" s="1859"/>
    </row>
    <row r="168" spans="2:13" s="1708" customFormat="1" x14ac:dyDescent="0.25">
      <c r="B168" s="1864"/>
      <c r="H168" s="1859"/>
      <c r="I168" s="1859"/>
      <c r="J168" s="1859"/>
      <c r="M168" s="1859"/>
    </row>
    <row r="169" spans="2:13" s="1708" customFormat="1" x14ac:dyDescent="0.25">
      <c r="B169" s="1864"/>
      <c r="H169" s="1859"/>
      <c r="I169" s="1859"/>
      <c r="J169" s="1859"/>
      <c r="M169" s="1859"/>
    </row>
    <row r="170" spans="2:13" s="1708" customFormat="1" x14ac:dyDescent="0.25">
      <c r="B170" s="1864"/>
      <c r="H170" s="1859"/>
      <c r="I170" s="1859"/>
      <c r="J170" s="1859"/>
      <c r="M170" s="1859"/>
    </row>
    <row r="171" spans="2:13" s="1708" customFormat="1" x14ac:dyDescent="0.25">
      <c r="B171" s="1864"/>
      <c r="H171" s="1859"/>
      <c r="I171" s="1859"/>
      <c r="J171" s="1859"/>
      <c r="M171" s="1859"/>
    </row>
    <row r="172" spans="2:13" s="1708" customFormat="1" x14ac:dyDescent="0.25">
      <c r="B172" s="1864"/>
      <c r="H172" s="1859"/>
      <c r="I172" s="1859"/>
      <c r="J172" s="1859"/>
      <c r="M172" s="1859"/>
    </row>
    <row r="173" spans="2:13" s="1708" customFormat="1" x14ac:dyDescent="0.25">
      <c r="B173" s="1864"/>
      <c r="H173" s="1859"/>
      <c r="I173" s="1859"/>
      <c r="J173" s="1859"/>
      <c r="M173" s="1859"/>
    </row>
    <row r="174" spans="2:13" s="1708" customFormat="1" x14ac:dyDescent="0.25">
      <c r="B174" s="1864"/>
      <c r="H174" s="1859"/>
      <c r="I174" s="1859"/>
      <c r="J174" s="1859"/>
      <c r="M174" s="1859"/>
    </row>
    <row r="175" spans="2:13" s="1708" customFormat="1" x14ac:dyDescent="0.25">
      <c r="B175" s="1864"/>
      <c r="H175" s="1859"/>
      <c r="I175" s="1859"/>
      <c r="J175" s="1859"/>
      <c r="M175" s="1859"/>
    </row>
    <row r="176" spans="2:13" s="1708" customFormat="1" x14ac:dyDescent="0.25">
      <c r="B176" s="1864"/>
      <c r="H176" s="1859"/>
      <c r="I176" s="1859"/>
      <c r="J176" s="1859"/>
      <c r="M176" s="1859"/>
    </row>
    <row r="177" spans="2:13" s="1708" customFormat="1" x14ac:dyDescent="0.25">
      <c r="B177" s="1864"/>
      <c r="H177" s="1859"/>
      <c r="I177" s="1859"/>
      <c r="J177" s="1859"/>
      <c r="M177" s="1859"/>
    </row>
    <row r="178" spans="2:13" s="1708" customFormat="1" x14ac:dyDescent="0.25">
      <c r="B178" s="1864"/>
      <c r="H178" s="1859"/>
      <c r="I178" s="1859"/>
      <c r="J178" s="1859"/>
      <c r="M178" s="1859"/>
    </row>
    <row r="179" spans="2:13" s="1708" customFormat="1" x14ac:dyDescent="0.25">
      <c r="B179" s="1864"/>
      <c r="H179" s="1859"/>
      <c r="I179" s="1859"/>
      <c r="J179" s="1859"/>
      <c r="M179" s="1859"/>
    </row>
    <row r="180" spans="2:13" s="1708" customFormat="1" x14ac:dyDescent="0.25">
      <c r="B180" s="1864"/>
      <c r="H180" s="1859"/>
      <c r="I180" s="1859"/>
      <c r="J180" s="1859"/>
      <c r="M180" s="1859"/>
    </row>
    <row r="181" spans="2:13" s="1708" customFormat="1" x14ac:dyDescent="0.25">
      <c r="B181" s="1864"/>
      <c r="H181" s="1859"/>
      <c r="I181" s="1859"/>
      <c r="J181" s="1859"/>
      <c r="M181" s="1859"/>
    </row>
    <row r="182" spans="2:13" s="1708" customFormat="1" x14ac:dyDescent="0.25">
      <c r="B182" s="1864"/>
      <c r="H182" s="1859"/>
      <c r="I182" s="1859"/>
      <c r="J182" s="1859"/>
      <c r="M182" s="1859"/>
    </row>
    <row r="183" spans="2:13" s="1708" customFormat="1" x14ac:dyDescent="0.25">
      <c r="B183" s="1864"/>
      <c r="H183" s="1859"/>
      <c r="I183" s="1859"/>
      <c r="J183" s="1859"/>
      <c r="M183" s="1859"/>
    </row>
    <row r="184" spans="2:13" s="1708" customFormat="1" x14ac:dyDescent="0.25">
      <c r="B184" s="1864"/>
      <c r="H184" s="1859"/>
      <c r="I184" s="1859"/>
      <c r="J184" s="1859"/>
      <c r="M184" s="1859"/>
    </row>
    <row r="185" spans="2:13" s="1708" customFormat="1" x14ac:dyDescent="0.25">
      <c r="B185" s="1864"/>
      <c r="H185" s="1859"/>
      <c r="I185" s="1859"/>
      <c r="J185" s="1859"/>
      <c r="M185" s="1859"/>
    </row>
    <row r="186" spans="2:13" s="1708" customFormat="1" x14ac:dyDescent="0.25">
      <c r="B186" s="1864"/>
      <c r="H186" s="1859"/>
      <c r="I186" s="1859"/>
      <c r="J186" s="1859"/>
      <c r="M186" s="1859"/>
    </row>
    <row r="187" spans="2:13" s="1708" customFormat="1" x14ac:dyDescent="0.25">
      <c r="B187" s="1864"/>
      <c r="H187" s="1859"/>
      <c r="I187" s="1859"/>
      <c r="J187" s="1859"/>
      <c r="M187" s="1859"/>
    </row>
    <row r="188" spans="2:13" s="1708" customFormat="1" x14ac:dyDescent="0.25">
      <c r="B188" s="1864"/>
      <c r="H188" s="1859"/>
      <c r="I188" s="1859"/>
      <c r="J188" s="1859"/>
      <c r="M188" s="1859"/>
    </row>
    <row r="189" spans="2:13" s="1708" customFormat="1" x14ac:dyDescent="0.25">
      <c r="B189" s="1864"/>
      <c r="H189" s="1859"/>
      <c r="I189" s="1859"/>
      <c r="J189" s="1859"/>
      <c r="M189" s="1859"/>
    </row>
    <row r="190" spans="2:13" s="1708" customFormat="1" x14ac:dyDescent="0.25">
      <c r="B190" s="1864"/>
      <c r="H190" s="1859"/>
      <c r="I190" s="1859"/>
      <c r="J190" s="1859"/>
      <c r="M190" s="1859"/>
    </row>
    <row r="191" spans="2:13" s="1708" customFormat="1" x14ac:dyDescent="0.25">
      <c r="B191" s="1864"/>
      <c r="H191" s="1859"/>
      <c r="I191" s="1859"/>
      <c r="J191" s="1859"/>
      <c r="M191" s="1859"/>
    </row>
    <row r="192" spans="2:13" s="1708" customFormat="1" x14ac:dyDescent="0.25">
      <c r="B192" s="1864"/>
      <c r="H192" s="1859"/>
      <c r="I192" s="1859"/>
      <c r="J192" s="1859"/>
      <c r="M192" s="1859"/>
    </row>
    <row r="193" spans="2:13" s="1708" customFormat="1" x14ac:dyDescent="0.25">
      <c r="B193" s="1864"/>
      <c r="H193" s="1859"/>
      <c r="I193" s="1859"/>
      <c r="J193" s="1859"/>
      <c r="M193" s="1859"/>
    </row>
    <row r="194" spans="2:13" s="1708" customFormat="1" x14ac:dyDescent="0.25">
      <c r="B194" s="1864"/>
      <c r="H194" s="1859"/>
      <c r="I194" s="1859"/>
      <c r="J194" s="1859"/>
      <c r="M194" s="1859"/>
    </row>
    <row r="195" spans="2:13" s="1708" customFormat="1" x14ac:dyDescent="0.25">
      <c r="B195" s="1864"/>
      <c r="H195" s="1859"/>
      <c r="I195" s="1859"/>
      <c r="J195" s="1859"/>
      <c r="M195" s="1859"/>
    </row>
    <row r="196" spans="2:13" s="1708" customFormat="1" x14ac:dyDescent="0.25">
      <c r="B196" s="1864"/>
      <c r="H196" s="1859"/>
      <c r="I196" s="1859"/>
      <c r="J196" s="1859"/>
      <c r="M196" s="1859"/>
    </row>
    <row r="197" spans="2:13" s="1708" customFormat="1" x14ac:dyDescent="0.25">
      <c r="B197" s="1864"/>
      <c r="H197" s="1859"/>
      <c r="I197" s="1859"/>
      <c r="J197" s="1859"/>
      <c r="M197" s="1859"/>
    </row>
    <row r="198" spans="2:13" s="1708" customFormat="1" x14ac:dyDescent="0.25">
      <c r="B198" s="1864"/>
      <c r="H198" s="1859"/>
      <c r="I198" s="1859"/>
      <c r="J198" s="1859"/>
      <c r="M198" s="1859"/>
    </row>
    <row r="199" spans="2:13" s="1708" customFormat="1" x14ac:dyDescent="0.25">
      <c r="B199" s="1864"/>
      <c r="H199" s="1859"/>
      <c r="I199" s="1859"/>
      <c r="J199" s="1859"/>
      <c r="M199" s="1859"/>
    </row>
    <row r="200" spans="2:13" s="1708" customFormat="1" x14ac:dyDescent="0.25">
      <c r="B200" s="1864"/>
      <c r="H200" s="1859"/>
      <c r="I200" s="1859"/>
      <c r="J200" s="1859"/>
      <c r="M200" s="1859"/>
    </row>
    <row r="201" spans="2:13" s="1708" customFormat="1" x14ac:dyDescent="0.25">
      <c r="B201" s="1864"/>
      <c r="H201" s="1859"/>
      <c r="I201" s="1859"/>
      <c r="J201" s="1859"/>
      <c r="M201" s="1859"/>
    </row>
    <row r="202" spans="2:13" s="1708" customFormat="1" x14ac:dyDescent="0.25">
      <c r="B202" s="1864"/>
      <c r="H202" s="1859"/>
      <c r="I202" s="1859"/>
      <c r="J202" s="1859"/>
      <c r="M202" s="1859"/>
    </row>
    <row r="203" spans="2:13" s="1708" customFormat="1" x14ac:dyDescent="0.25">
      <c r="B203" s="1864"/>
      <c r="H203" s="1859"/>
      <c r="I203" s="1859"/>
      <c r="J203" s="1859"/>
      <c r="M203" s="1859"/>
    </row>
    <row r="204" spans="2:13" s="1708" customFormat="1" x14ac:dyDescent="0.25">
      <c r="B204" s="1864"/>
      <c r="H204" s="1859"/>
      <c r="I204" s="1859"/>
      <c r="J204" s="1859"/>
      <c r="M204" s="1859"/>
    </row>
    <row r="205" spans="2:13" s="1708" customFormat="1" x14ac:dyDescent="0.25">
      <c r="B205" s="1864"/>
      <c r="H205" s="1859"/>
      <c r="I205" s="1859"/>
      <c r="J205" s="1859"/>
      <c r="M205" s="1859"/>
    </row>
    <row r="206" spans="2:13" s="1708" customFormat="1" x14ac:dyDescent="0.25">
      <c r="B206" s="1864"/>
      <c r="H206" s="1859"/>
      <c r="I206" s="1859"/>
      <c r="J206" s="1859"/>
      <c r="M206" s="1859"/>
    </row>
    <row r="207" spans="2:13" s="1708" customFormat="1" x14ac:dyDescent="0.25">
      <c r="B207" s="1864"/>
      <c r="H207" s="1859"/>
      <c r="I207" s="1859"/>
      <c r="J207" s="1859"/>
      <c r="M207" s="1859"/>
    </row>
    <row r="208" spans="2:13" s="1708" customFormat="1" x14ac:dyDescent="0.25">
      <c r="B208" s="1864"/>
      <c r="H208" s="1859"/>
      <c r="I208" s="1859"/>
      <c r="J208" s="1859"/>
      <c r="M208" s="1859"/>
    </row>
    <row r="209" spans="2:13" s="1708" customFormat="1" x14ac:dyDescent="0.25">
      <c r="B209" s="1864"/>
      <c r="H209" s="1859"/>
      <c r="I209" s="1859"/>
      <c r="J209" s="1859"/>
      <c r="M209" s="1859"/>
    </row>
    <row r="210" spans="2:13" s="1708" customFormat="1" x14ac:dyDescent="0.25">
      <c r="B210" s="1864"/>
      <c r="H210" s="1859"/>
      <c r="I210" s="1859"/>
      <c r="J210" s="1859"/>
      <c r="M210" s="1859"/>
    </row>
    <row r="211" spans="2:13" s="1708" customFormat="1" x14ac:dyDescent="0.25">
      <c r="B211" s="1864"/>
      <c r="H211" s="1859"/>
      <c r="I211" s="1859"/>
      <c r="J211" s="1859"/>
      <c r="M211" s="1859"/>
    </row>
    <row r="212" spans="2:13" s="1708" customFormat="1" x14ac:dyDescent="0.25">
      <c r="B212" s="1864"/>
      <c r="H212" s="1859"/>
      <c r="I212" s="1859"/>
      <c r="J212" s="1859"/>
      <c r="M212" s="1859"/>
    </row>
    <row r="213" spans="2:13" s="1708" customFormat="1" x14ac:dyDescent="0.25">
      <c r="B213" s="1864"/>
      <c r="H213" s="1859"/>
      <c r="I213" s="1859"/>
      <c r="J213" s="1859"/>
      <c r="M213" s="1859"/>
    </row>
    <row r="214" spans="2:13" s="1708" customFormat="1" x14ac:dyDescent="0.25">
      <c r="B214" s="1864"/>
      <c r="H214" s="1859"/>
      <c r="I214" s="1859"/>
      <c r="J214" s="1859"/>
      <c r="M214" s="1859"/>
    </row>
    <row r="215" spans="2:13" s="1708" customFormat="1" x14ac:dyDescent="0.25">
      <c r="B215" s="1864"/>
      <c r="H215" s="1859"/>
      <c r="I215" s="1859"/>
      <c r="J215" s="1859"/>
      <c r="M215" s="1859"/>
    </row>
    <row r="216" spans="2:13" s="1708" customFormat="1" x14ac:dyDescent="0.25">
      <c r="B216" s="1864"/>
      <c r="H216" s="1859"/>
      <c r="I216" s="1859"/>
      <c r="J216" s="1859"/>
      <c r="M216" s="1859"/>
    </row>
    <row r="217" spans="2:13" s="1708" customFormat="1" x14ac:dyDescent="0.25">
      <c r="B217" s="1864"/>
      <c r="H217" s="1859"/>
      <c r="I217" s="1859"/>
      <c r="J217" s="1859"/>
      <c r="M217" s="1859"/>
    </row>
    <row r="218" spans="2:13" s="1708" customFormat="1" x14ac:dyDescent="0.25">
      <c r="B218" s="1864"/>
      <c r="H218" s="1859"/>
      <c r="I218" s="1859"/>
      <c r="J218" s="1859"/>
      <c r="M218" s="1859"/>
    </row>
    <row r="219" spans="2:13" s="1708" customFormat="1" x14ac:dyDescent="0.25">
      <c r="B219" s="1864"/>
      <c r="H219" s="1859"/>
      <c r="I219" s="1859"/>
      <c r="J219" s="1859"/>
      <c r="M219" s="1859"/>
    </row>
    <row r="220" spans="2:13" s="1708" customFormat="1" x14ac:dyDescent="0.25">
      <c r="B220" s="1864"/>
      <c r="H220" s="1859"/>
      <c r="I220" s="1859"/>
      <c r="J220" s="1859"/>
      <c r="M220" s="1859"/>
    </row>
    <row r="221" spans="2:13" s="1708" customFormat="1" x14ac:dyDescent="0.25">
      <c r="B221" s="1864"/>
      <c r="H221" s="1859"/>
      <c r="I221" s="1859"/>
      <c r="J221" s="1859"/>
      <c r="M221" s="1859"/>
    </row>
    <row r="222" spans="2:13" s="1708" customFormat="1" x14ac:dyDescent="0.25">
      <c r="B222" s="1864"/>
      <c r="H222" s="1859"/>
      <c r="I222" s="1859"/>
      <c r="J222" s="1859"/>
      <c r="M222" s="1859"/>
    </row>
    <row r="223" spans="2:13" s="1708" customFormat="1" x14ac:dyDescent="0.25">
      <c r="B223" s="1864"/>
      <c r="H223" s="1859"/>
      <c r="I223" s="1859"/>
      <c r="J223" s="1859"/>
      <c r="M223" s="1859"/>
    </row>
    <row r="224" spans="2:13" s="1708" customFormat="1" x14ac:dyDescent="0.25">
      <c r="B224" s="1864"/>
      <c r="H224" s="1859"/>
      <c r="I224" s="1859"/>
      <c r="J224" s="1859"/>
      <c r="M224" s="1859"/>
    </row>
    <row r="225" spans="2:13" s="1708" customFormat="1" x14ac:dyDescent="0.25">
      <c r="B225" s="1864"/>
      <c r="H225" s="1859"/>
      <c r="I225" s="1859"/>
      <c r="J225" s="1859"/>
      <c r="M225" s="1859"/>
    </row>
    <row r="226" spans="2:13" s="1708" customFormat="1" x14ac:dyDescent="0.25">
      <c r="B226" s="1864"/>
      <c r="H226" s="1859"/>
      <c r="I226" s="1859"/>
      <c r="J226" s="1859"/>
      <c r="M226" s="1859"/>
    </row>
    <row r="227" spans="2:13" s="1708" customFormat="1" x14ac:dyDescent="0.25">
      <c r="B227" s="1864"/>
      <c r="H227" s="1859"/>
      <c r="I227" s="1859"/>
      <c r="J227" s="1859"/>
      <c r="M227" s="1859"/>
    </row>
    <row r="228" spans="2:13" s="1708" customFormat="1" x14ac:dyDescent="0.25">
      <c r="B228" s="1864"/>
      <c r="H228" s="1859"/>
      <c r="I228" s="1859"/>
      <c r="J228" s="1859"/>
      <c r="M228" s="1859"/>
    </row>
    <row r="229" spans="2:13" s="1708" customFormat="1" x14ac:dyDescent="0.25">
      <c r="B229" s="1864"/>
      <c r="H229" s="1859"/>
      <c r="I229" s="1859"/>
      <c r="J229" s="1859"/>
      <c r="M229" s="1859"/>
    </row>
    <row r="230" spans="2:13" s="1708" customFormat="1" x14ac:dyDescent="0.25">
      <c r="B230" s="1864"/>
      <c r="H230" s="1859"/>
      <c r="I230" s="1859"/>
      <c r="J230" s="1859"/>
      <c r="M230" s="1859"/>
    </row>
    <row r="231" spans="2:13" s="1708" customFormat="1" x14ac:dyDescent="0.25">
      <c r="B231" s="1864"/>
      <c r="H231" s="1859"/>
      <c r="I231" s="1859"/>
      <c r="J231" s="1859"/>
      <c r="M231" s="1859"/>
    </row>
    <row r="232" spans="2:13" s="1708" customFormat="1" x14ac:dyDescent="0.25">
      <c r="B232" s="1864"/>
      <c r="H232" s="1859"/>
      <c r="I232" s="1859"/>
      <c r="J232" s="1859"/>
      <c r="M232" s="1859"/>
    </row>
    <row r="233" spans="2:13" s="1708" customFormat="1" x14ac:dyDescent="0.25">
      <c r="B233" s="1864"/>
      <c r="H233" s="1859"/>
      <c r="I233" s="1859"/>
      <c r="J233" s="1859"/>
      <c r="M233" s="1859"/>
    </row>
    <row r="234" spans="2:13" s="1708" customFormat="1" x14ac:dyDescent="0.25">
      <c r="B234" s="1864"/>
      <c r="H234" s="1859"/>
      <c r="I234" s="1859"/>
      <c r="J234" s="1859"/>
      <c r="M234" s="1859"/>
    </row>
    <row r="235" spans="2:13" s="1708" customFormat="1" x14ac:dyDescent="0.25">
      <c r="B235" s="1864"/>
      <c r="H235" s="1859"/>
      <c r="I235" s="1859"/>
      <c r="J235" s="1859"/>
      <c r="M235" s="1859"/>
    </row>
    <row r="236" spans="2:13" s="1708" customFormat="1" x14ac:dyDescent="0.25">
      <c r="B236" s="1864"/>
      <c r="H236" s="1859"/>
      <c r="I236" s="1859"/>
      <c r="J236" s="1859"/>
      <c r="M236" s="1859"/>
    </row>
    <row r="237" spans="2:13" s="1708" customFormat="1" x14ac:dyDescent="0.25">
      <c r="B237" s="1864"/>
      <c r="H237" s="1859"/>
      <c r="I237" s="1859"/>
      <c r="J237" s="1859"/>
      <c r="M237" s="1859"/>
    </row>
    <row r="238" spans="2:13" s="1708" customFormat="1" x14ac:dyDescent="0.25">
      <c r="B238" s="1864"/>
      <c r="H238" s="1859"/>
      <c r="I238" s="1859"/>
      <c r="J238" s="1859"/>
      <c r="M238" s="1859"/>
    </row>
    <row r="239" spans="2:13" s="1708" customFormat="1" x14ac:dyDescent="0.25">
      <c r="B239" s="1864"/>
      <c r="H239" s="1859"/>
      <c r="I239" s="1859"/>
      <c r="J239" s="1859"/>
      <c r="M239" s="1859"/>
    </row>
    <row r="240" spans="2:13" s="1708" customFormat="1" x14ac:dyDescent="0.25">
      <c r="B240" s="1864"/>
      <c r="H240" s="1859"/>
      <c r="I240" s="1859"/>
      <c r="J240" s="1859"/>
      <c r="M240" s="1859"/>
    </row>
    <row r="241" spans="2:13" s="1708" customFormat="1" x14ac:dyDescent="0.25">
      <c r="B241" s="1864"/>
      <c r="H241" s="1859"/>
      <c r="I241" s="1859"/>
      <c r="J241" s="1859"/>
      <c r="M241" s="1859"/>
    </row>
    <row r="242" spans="2:13" s="1708" customFormat="1" x14ac:dyDescent="0.25">
      <c r="B242" s="1864"/>
      <c r="H242" s="1859"/>
      <c r="I242" s="1859"/>
      <c r="J242" s="1859"/>
      <c r="M242" s="1859"/>
    </row>
    <row r="243" spans="2:13" s="1708" customFormat="1" x14ac:dyDescent="0.25">
      <c r="B243" s="1864"/>
      <c r="H243" s="1859"/>
      <c r="I243" s="1859"/>
      <c r="J243" s="1859"/>
      <c r="M243" s="1859"/>
    </row>
    <row r="244" spans="2:13" s="1708" customFormat="1" x14ac:dyDescent="0.25">
      <c r="B244" s="1864"/>
      <c r="H244" s="1859"/>
      <c r="I244" s="1859"/>
      <c r="J244" s="1859"/>
      <c r="M244" s="1859"/>
    </row>
    <row r="245" spans="2:13" s="1708" customFormat="1" x14ac:dyDescent="0.25">
      <c r="B245" s="1864"/>
      <c r="H245" s="1859"/>
      <c r="I245" s="1859"/>
      <c r="J245" s="1859"/>
      <c r="M245" s="1859"/>
    </row>
    <row r="246" spans="2:13" s="1708" customFormat="1" x14ac:dyDescent="0.25">
      <c r="B246" s="1864"/>
      <c r="H246" s="1859"/>
      <c r="I246" s="1859"/>
      <c r="J246" s="1859"/>
      <c r="M246" s="1859"/>
    </row>
    <row r="247" spans="2:13" s="1708" customFormat="1" x14ac:dyDescent="0.25">
      <c r="B247" s="1864"/>
      <c r="H247" s="1859"/>
      <c r="I247" s="1859"/>
      <c r="J247" s="1859"/>
      <c r="M247" s="1859"/>
    </row>
    <row r="248" spans="2:13" s="1708" customFormat="1" x14ac:dyDescent="0.25">
      <c r="B248" s="1864"/>
      <c r="H248" s="1859"/>
      <c r="I248" s="1859"/>
      <c r="J248" s="1859"/>
      <c r="M248" s="1859"/>
    </row>
    <row r="249" spans="2:13" s="1708" customFormat="1" x14ac:dyDescent="0.25">
      <c r="B249" s="1864"/>
      <c r="H249" s="1859"/>
      <c r="I249" s="1859"/>
      <c r="J249" s="1859"/>
      <c r="M249" s="1859"/>
    </row>
    <row r="250" spans="2:13" s="1708" customFormat="1" x14ac:dyDescent="0.25">
      <c r="B250" s="1864"/>
      <c r="H250" s="1859"/>
      <c r="I250" s="1859"/>
      <c r="J250" s="1859"/>
      <c r="M250" s="1859"/>
    </row>
    <row r="251" spans="2:13" s="1708" customFormat="1" x14ac:dyDescent="0.25">
      <c r="B251" s="1864"/>
      <c r="H251" s="1859"/>
      <c r="I251" s="1859"/>
      <c r="J251" s="1859"/>
      <c r="M251" s="1859"/>
    </row>
    <row r="252" spans="2:13" s="1708" customFormat="1" x14ac:dyDescent="0.25">
      <c r="B252" s="1864"/>
      <c r="H252" s="1859"/>
      <c r="I252" s="1859"/>
      <c r="J252" s="1859"/>
      <c r="M252" s="1859"/>
    </row>
    <row r="253" spans="2:13" s="1708" customFormat="1" x14ac:dyDescent="0.25">
      <c r="B253" s="1864"/>
      <c r="H253" s="1859"/>
      <c r="I253" s="1859"/>
      <c r="J253" s="1859"/>
      <c r="M253" s="1859"/>
    </row>
    <row r="254" spans="2:13" s="1708" customFormat="1" x14ac:dyDescent="0.25">
      <c r="B254" s="1864"/>
      <c r="H254" s="1859"/>
      <c r="I254" s="1859"/>
      <c r="J254" s="1859"/>
      <c r="M254" s="1859"/>
    </row>
    <row r="255" spans="2:13" s="1708" customFormat="1" x14ac:dyDescent="0.25">
      <c r="B255" s="1864"/>
      <c r="H255" s="1859"/>
      <c r="I255" s="1859"/>
      <c r="J255" s="1859"/>
      <c r="M255" s="1859"/>
    </row>
    <row r="256" spans="2:13" s="1708" customFormat="1" x14ac:dyDescent="0.25">
      <c r="B256" s="1864"/>
      <c r="H256" s="1859"/>
      <c r="I256" s="1859"/>
      <c r="J256" s="1859"/>
      <c r="M256" s="1859"/>
    </row>
    <row r="257" spans="2:13" s="1708" customFormat="1" x14ac:dyDescent="0.25">
      <c r="B257" s="1864"/>
      <c r="H257" s="1859"/>
      <c r="I257" s="1859"/>
      <c r="J257" s="1859"/>
      <c r="M257" s="1859"/>
    </row>
    <row r="258" spans="2:13" s="1708" customFormat="1" x14ac:dyDescent="0.25">
      <c r="B258" s="1864"/>
      <c r="H258" s="1859"/>
      <c r="I258" s="1859"/>
      <c r="J258" s="1859"/>
      <c r="M258" s="1859"/>
    </row>
    <row r="259" spans="2:13" s="1708" customFormat="1" x14ac:dyDescent="0.25">
      <c r="B259" s="1864"/>
      <c r="H259" s="1859"/>
      <c r="I259" s="1859"/>
      <c r="J259" s="1859"/>
      <c r="M259" s="1859"/>
    </row>
    <row r="260" spans="2:13" s="1708" customFormat="1" x14ac:dyDescent="0.25">
      <c r="B260" s="1864"/>
      <c r="H260" s="1859"/>
      <c r="I260" s="1859"/>
      <c r="J260" s="1859"/>
      <c r="M260" s="1859"/>
    </row>
    <row r="261" spans="2:13" s="1708" customFormat="1" x14ac:dyDescent="0.25">
      <c r="B261" s="1864"/>
      <c r="H261" s="1859"/>
      <c r="I261" s="1859"/>
      <c r="J261" s="1859"/>
      <c r="M261" s="1859"/>
    </row>
    <row r="262" spans="2:13" s="1708" customFormat="1" x14ac:dyDescent="0.25">
      <c r="B262" s="1864"/>
      <c r="H262" s="1859"/>
      <c r="I262" s="1859"/>
      <c r="J262" s="1859"/>
      <c r="M262" s="1859"/>
    </row>
    <row r="263" spans="2:13" s="1708" customFormat="1" x14ac:dyDescent="0.25">
      <c r="B263" s="1864"/>
      <c r="H263" s="1859"/>
      <c r="I263" s="1859"/>
      <c r="J263" s="1859"/>
      <c r="M263" s="1859"/>
    </row>
    <row r="264" spans="2:13" s="1708" customFormat="1" x14ac:dyDescent="0.25">
      <c r="B264" s="1864"/>
      <c r="H264" s="1859"/>
      <c r="I264" s="1859"/>
      <c r="J264" s="1859"/>
      <c r="M264" s="1859"/>
    </row>
    <row r="265" spans="2:13" s="1708" customFormat="1" x14ac:dyDescent="0.25">
      <c r="B265" s="1864"/>
      <c r="H265" s="1859"/>
      <c r="I265" s="1859"/>
      <c r="J265" s="1859"/>
      <c r="M265" s="1859"/>
    </row>
    <row r="266" spans="2:13" s="1708" customFormat="1" x14ac:dyDescent="0.25">
      <c r="B266" s="1864"/>
      <c r="H266" s="1859"/>
      <c r="I266" s="1859"/>
      <c r="J266" s="1859"/>
      <c r="M266" s="1859"/>
    </row>
    <row r="267" spans="2:13" s="1708" customFormat="1" x14ac:dyDescent="0.25">
      <c r="B267" s="1864"/>
      <c r="H267" s="1859"/>
      <c r="I267" s="1859"/>
      <c r="J267" s="1859"/>
      <c r="M267" s="1859"/>
    </row>
    <row r="268" spans="2:13" s="1708" customFormat="1" x14ac:dyDescent="0.25">
      <c r="B268" s="1864"/>
      <c r="H268" s="1859"/>
      <c r="I268" s="1859"/>
      <c r="J268" s="1859"/>
      <c r="M268" s="1859"/>
    </row>
    <row r="269" spans="2:13" s="1708" customFormat="1" x14ac:dyDescent="0.25">
      <c r="B269" s="1864"/>
      <c r="H269" s="1859"/>
      <c r="I269" s="1859"/>
      <c r="J269" s="1859"/>
      <c r="M269" s="1859"/>
    </row>
    <row r="270" spans="2:13" s="1708" customFormat="1" x14ac:dyDescent="0.25">
      <c r="B270" s="1864"/>
      <c r="H270" s="1859"/>
      <c r="I270" s="1859"/>
      <c r="J270" s="1859"/>
      <c r="M270" s="1859"/>
    </row>
    <row r="271" spans="2:13" s="1708" customFormat="1" x14ac:dyDescent="0.25">
      <c r="B271" s="1864"/>
      <c r="H271" s="1859"/>
      <c r="I271" s="1859"/>
      <c r="J271" s="1859"/>
      <c r="M271" s="1859"/>
    </row>
    <row r="272" spans="2:13" s="1708" customFormat="1" x14ac:dyDescent="0.25">
      <c r="B272" s="1864"/>
      <c r="H272" s="1859"/>
      <c r="I272" s="1859"/>
      <c r="J272" s="1859"/>
      <c r="M272" s="1859"/>
    </row>
    <row r="273" spans="2:13" s="1708" customFormat="1" x14ac:dyDescent="0.25">
      <c r="B273" s="1864"/>
      <c r="H273" s="1859"/>
      <c r="I273" s="1859"/>
      <c r="J273" s="1859"/>
      <c r="M273" s="1859"/>
    </row>
    <row r="274" spans="2:13" s="1708" customFormat="1" x14ac:dyDescent="0.25">
      <c r="B274" s="1864"/>
      <c r="H274" s="1859"/>
      <c r="I274" s="1859"/>
      <c r="J274" s="1859"/>
      <c r="M274" s="1859"/>
    </row>
    <row r="275" spans="2:13" s="1708" customFormat="1" x14ac:dyDescent="0.25">
      <c r="B275" s="1864"/>
      <c r="H275" s="1859"/>
      <c r="I275" s="1859"/>
      <c r="J275" s="1859"/>
      <c r="M275" s="1859"/>
    </row>
    <row r="276" spans="2:13" s="1708" customFormat="1" x14ac:dyDescent="0.25">
      <c r="B276" s="1864"/>
      <c r="H276" s="1859"/>
      <c r="I276" s="1859"/>
      <c r="J276" s="1859"/>
      <c r="M276" s="1859"/>
    </row>
    <row r="277" spans="2:13" s="1708" customFormat="1" x14ac:dyDescent="0.25">
      <c r="B277" s="1864"/>
      <c r="H277" s="1859"/>
      <c r="I277" s="1859"/>
      <c r="J277" s="1859"/>
      <c r="M277" s="1859"/>
    </row>
    <row r="278" spans="2:13" s="1708" customFormat="1" x14ac:dyDescent="0.25">
      <c r="B278" s="1864"/>
      <c r="H278" s="1859"/>
      <c r="I278" s="1859"/>
      <c r="J278" s="1859"/>
      <c r="M278" s="1859"/>
    </row>
    <row r="279" spans="2:13" s="1708" customFormat="1" x14ac:dyDescent="0.25">
      <c r="B279" s="1864"/>
      <c r="H279" s="1859"/>
      <c r="I279" s="1859"/>
      <c r="J279" s="1859"/>
      <c r="M279" s="1859"/>
    </row>
    <row r="280" spans="2:13" s="1708" customFormat="1" x14ac:dyDescent="0.25">
      <c r="B280" s="1864"/>
      <c r="H280" s="1859"/>
      <c r="I280" s="1859"/>
      <c r="J280" s="1859"/>
      <c r="M280" s="1859"/>
    </row>
    <row r="281" spans="2:13" s="1708" customFormat="1" x14ac:dyDescent="0.25">
      <c r="B281" s="1864"/>
      <c r="H281" s="1859"/>
      <c r="I281" s="1859"/>
      <c r="J281" s="1859"/>
      <c r="M281" s="1859"/>
    </row>
    <row r="282" spans="2:13" s="1708" customFormat="1" x14ac:dyDescent="0.25">
      <c r="B282" s="1864"/>
      <c r="H282" s="1859"/>
      <c r="I282" s="1859"/>
      <c r="J282" s="1859"/>
      <c r="M282" s="1859"/>
    </row>
    <row r="283" spans="2:13" s="1708" customFormat="1" x14ac:dyDescent="0.25">
      <c r="B283" s="1864"/>
      <c r="H283" s="1859"/>
      <c r="I283" s="1859"/>
      <c r="J283" s="1859"/>
      <c r="M283" s="1859"/>
    </row>
    <row r="284" spans="2:13" s="1708" customFormat="1" x14ac:dyDescent="0.25">
      <c r="B284" s="1864"/>
      <c r="H284" s="1859"/>
      <c r="I284" s="1859"/>
      <c r="J284" s="1859"/>
      <c r="M284" s="1859"/>
    </row>
    <row r="285" spans="2:13" s="1708" customFormat="1" x14ac:dyDescent="0.25">
      <c r="B285" s="1864"/>
      <c r="H285" s="1859"/>
      <c r="I285" s="1859"/>
      <c r="J285" s="1859"/>
      <c r="M285" s="1859"/>
    </row>
    <row r="286" spans="2:13" s="1708" customFormat="1" x14ac:dyDescent="0.25">
      <c r="B286" s="1864"/>
      <c r="H286" s="1859"/>
      <c r="I286" s="1859"/>
      <c r="J286" s="1859"/>
      <c r="M286" s="1859"/>
    </row>
    <row r="287" spans="2:13" s="1708" customFormat="1" x14ac:dyDescent="0.25">
      <c r="B287" s="1864"/>
      <c r="H287" s="1859"/>
      <c r="I287" s="1859"/>
      <c r="J287" s="1859"/>
      <c r="M287" s="1859"/>
    </row>
    <row r="288" spans="2:13" s="1708" customFormat="1" x14ac:dyDescent="0.25">
      <c r="B288" s="1864"/>
      <c r="H288" s="1859"/>
      <c r="I288" s="1859"/>
      <c r="J288" s="1859"/>
      <c r="M288" s="1859"/>
    </row>
    <row r="289" spans="2:13" s="1708" customFormat="1" x14ac:dyDescent="0.25">
      <c r="B289" s="1864"/>
      <c r="H289" s="1859"/>
      <c r="I289" s="1859"/>
      <c r="J289" s="1859"/>
      <c r="M289" s="1859"/>
    </row>
    <row r="290" spans="2:13" s="1708" customFormat="1" x14ac:dyDescent="0.25">
      <c r="B290" s="1864"/>
      <c r="H290" s="1859"/>
      <c r="I290" s="1859"/>
      <c r="J290" s="1859"/>
      <c r="M290" s="1859"/>
    </row>
    <row r="291" spans="2:13" s="1708" customFormat="1" x14ac:dyDescent="0.25">
      <c r="B291" s="1864"/>
      <c r="H291" s="1859"/>
      <c r="I291" s="1859"/>
      <c r="J291" s="1859"/>
      <c r="M291" s="1859"/>
    </row>
    <row r="292" spans="2:13" s="1708" customFormat="1" x14ac:dyDescent="0.25">
      <c r="B292" s="1864"/>
      <c r="H292" s="1859"/>
      <c r="I292" s="1859"/>
      <c r="J292" s="1859"/>
      <c r="M292" s="1859"/>
    </row>
    <row r="293" spans="2:13" s="1708" customFormat="1" x14ac:dyDescent="0.25">
      <c r="B293" s="1864"/>
      <c r="H293" s="1859"/>
      <c r="I293" s="1859"/>
      <c r="J293" s="1859"/>
      <c r="M293" s="1859"/>
    </row>
    <row r="294" spans="2:13" s="1708" customFormat="1" x14ac:dyDescent="0.25">
      <c r="B294" s="1864"/>
      <c r="H294" s="1859"/>
      <c r="I294" s="1859"/>
      <c r="J294" s="1859"/>
      <c r="M294" s="1859"/>
    </row>
    <row r="295" spans="2:13" s="1708" customFormat="1" x14ac:dyDescent="0.25">
      <c r="B295" s="1864"/>
      <c r="H295" s="1859"/>
      <c r="I295" s="1859"/>
      <c r="J295" s="1859"/>
      <c r="M295" s="1859"/>
    </row>
    <row r="296" spans="2:13" s="1708" customFormat="1" x14ac:dyDescent="0.25">
      <c r="B296" s="1864"/>
      <c r="H296" s="1859"/>
      <c r="I296" s="1859"/>
      <c r="J296" s="1859"/>
      <c r="M296" s="1859"/>
    </row>
    <row r="297" spans="2:13" s="1708" customFormat="1" x14ac:dyDescent="0.25">
      <c r="B297" s="1864"/>
      <c r="H297" s="1859"/>
      <c r="I297" s="1859"/>
      <c r="J297" s="1859"/>
      <c r="M297" s="1859"/>
    </row>
    <row r="298" spans="2:13" s="1708" customFormat="1" x14ac:dyDescent="0.25">
      <c r="B298" s="1864"/>
      <c r="H298" s="1859"/>
      <c r="I298" s="1859"/>
      <c r="J298" s="1859"/>
      <c r="M298" s="1859"/>
    </row>
    <row r="299" spans="2:13" s="1708" customFormat="1" x14ac:dyDescent="0.25">
      <c r="B299" s="1864"/>
      <c r="H299" s="1859"/>
      <c r="I299" s="1859"/>
      <c r="J299" s="1859"/>
      <c r="M299" s="1859"/>
    </row>
    <row r="300" spans="2:13" s="1708" customFormat="1" x14ac:dyDescent="0.25">
      <c r="B300" s="1864"/>
      <c r="H300" s="1859"/>
      <c r="I300" s="1859"/>
      <c r="J300" s="1859"/>
      <c r="M300" s="1859"/>
    </row>
    <row r="301" spans="2:13" s="1708" customFormat="1" x14ac:dyDescent="0.25">
      <c r="B301" s="1864"/>
      <c r="H301" s="1859"/>
      <c r="I301" s="1859"/>
      <c r="J301" s="1859"/>
      <c r="M301" s="1859"/>
    </row>
    <row r="302" spans="2:13" s="1708" customFormat="1" x14ac:dyDescent="0.25">
      <c r="B302" s="1864"/>
      <c r="H302" s="1859"/>
      <c r="I302" s="1859"/>
      <c r="J302" s="1859"/>
      <c r="M302" s="1859"/>
    </row>
    <row r="303" spans="2:13" s="1708" customFormat="1" x14ac:dyDescent="0.25">
      <c r="B303" s="1864"/>
      <c r="H303" s="1859"/>
      <c r="I303" s="1859"/>
      <c r="J303" s="1859"/>
      <c r="M303" s="1859"/>
    </row>
    <row r="304" spans="2:13" s="1708" customFormat="1" x14ac:dyDescent="0.25">
      <c r="B304" s="1864"/>
      <c r="H304" s="1859"/>
      <c r="I304" s="1859"/>
      <c r="J304" s="1859"/>
      <c r="M304" s="1859"/>
    </row>
    <row r="305" spans="2:13" s="1708" customFormat="1" x14ac:dyDescent="0.25">
      <c r="B305" s="1864"/>
      <c r="H305" s="1859"/>
      <c r="I305" s="1859"/>
      <c r="J305" s="1859"/>
      <c r="M305" s="1859"/>
    </row>
    <row r="306" spans="2:13" s="1708" customFormat="1" x14ac:dyDescent="0.25">
      <c r="B306" s="1864"/>
      <c r="H306" s="1859"/>
      <c r="I306" s="1859"/>
      <c r="J306" s="1859"/>
      <c r="M306" s="1859"/>
    </row>
    <row r="307" spans="2:13" s="1708" customFormat="1" x14ac:dyDescent="0.25">
      <c r="B307" s="1864"/>
      <c r="H307" s="1859"/>
      <c r="I307" s="1859"/>
      <c r="J307" s="1859"/>
      <c r="M307" s="1859"/>
    </row>
    <row r="308" spans="2:13" s="1708" customFormat="1" x14ac:dyDescent="0.25">
      <c r="B308" s="1864"/>
      <c r="H308" s="1859"/>
      <c r="I308" s="1859"/>
      <c r="J308" s="1859"/>
      <c r="M308" s="1859"/>
    </row>
    <row r="309" spans="2:13" s="1708" customFormat="1" x14ac:dyDescent="0.25">
      <c r="B309" s="1864"/>
      <c r="H309" s="1859"/>
      <c r="I309" s="1859"/>
      <c r="J309" s="1859"/>
      <c r="M309" s="1859"/>
    </row>
    <row r="310" spans="2:13" s="1708" customFormat="1" x14ac:dyDescent="0.25">
      <c r="B310" s="1864"/>
      <c r="H310" s="1859"/>
      <c r="I310" s="1859"/>
      <c r="J310" s="1859"/>
      <c r="M310" s="1859"/>
    </row>
    <row r="311" spans="2:13" s="1708" customFormat="1" x14ac:dyDescent="0.25">
      <c r="B311" s="1864"/>
      <c r="H311" s="1859"/>
      <c r="I311" s="1859"/>
      <c r="J311" s="1859"/>
      <c r="M311" s="1859"/>
    </row>
    <row r="312" spans="2:13" s="1708" customFormat="1" x14ac:dyDescent="0.25">
      <c r="B312" s="1864"/>
      <c r="H312" s="1859"/>
      <c r="I312" s="1859"/>
      <c r="J312" s="1859"/>
      <c r="M312" s="1859"/>
    </row>
    <row r="313" spans="2:13" s="1708" customFormat="1" x14ac:dyDescent="0.25">
      <c r="B313" s="1864"/>
      <c r="H313" s="1859"/>
      <c r="I313" s="1859"/>
      <c r="J313" s="1859"/>
      <c r="M313" s="1859"/>
    </row>
    <row r="314" spans="2:13" s="1708" customFormat="1" x14ac:dyDescent="0.25">
      <c r="B314" s="1864"/>
      <c r="H314" s="1859"/>
      <c r="I314" s="1859"/>
      <c r="J314" s="1859"/>
      <c r="M314" s="1859"/>
    </row>
    <row r="315" spans="2:13" s="1708" customFormat="1" x14ac:dyDescent="0.25">
      <c r="B315" s="1864"/>
      <c r="H315" s="1859"/>
      <c r="I315" s="1859"/>
      <c r="J315" s="1859"/>
      <c r="M315" s="1859"/>
    </row>
    <row r="316" spans="2:13" s="1708" customFormat="1" x14ac:dyDescent="0.25">
      <c r="B316" s="1864"/>
      <c r="H316" s="1859"/>
      <c r="I316" s="1859"/>
      <c r="J316" s="1859"/>
      <c r="M316" s="1859"/>
    </row>
    <row r="317" spans="2:13" s="1708" customFormat="1" x14ac:dyDescent="0.25">
      <c r="B317" s="1864"/>
      <c r="H317" s="1859"/>
      <c r="I317" s="1859"/>
      <c r="J317" s="1859"/>
      <c r="M317" s="1859"/>
    </row>
    <row r="318" spans="2:13" s="1708" customFormat="1" x14ac:dyDescent="0.25">
      <c r="B318" s="1864"/>
      <c r="H318" s="1859"/>
      <c r="I318" s="1859"/>
      <c r="J318" s="1859"/>
      <c r="M318" s="1859"/>
    </row>
    <row r="319" spans="2:13" s="1708" customFormat="1" x14ac:dyDescent="0.25">
      <c r="B319" s="1864"/>
      <c r="H319" s="1859"/>
      <c r="I319" s="1859"/>
      <c r="J319" s="1859"/>
      <c r="M319" s="1859"/>
    </row>
    <row r="320" spans="2:13" s="1708" customFormat="1" x14ac:dyDescent="0.25">
      <c r="B320" s="1864"/>
      <c r="H320" s="1859"/>
      <c r="I320" s="1859"/>
      <c r="J320" s="1859"/>
      <c r="M320" s="1859"/>
    </row>
    <row r="321" spans="2:13" s="1708" customFormat="1" x14ac:dyDescent="0.25">
      <c r="B321" s="1864"/>
      <c r="H321" s="1859"/>
      <c r="I321" s="1859"/>
      <c r="J321" s="1859"/>
      <c r="M321" s="1859"/>
    </row>
    <row r="322" spans="2:13" s="1708" customFormat="1" x14ac:dyDescent="0.25">
      <c r="B322" s="1864"/>
      <c r="H322" s="1859"/>
      <c r="I322" s="1859"/>
      <c r="J322" s="1859"/>
      <c r="M322" s="1859"/>
    </row>
    <row r="323" spans="2:13" s="1708" customFormat="1" x14ac:dyDescent="0.25">
      <c r="B323" s="1864"/>
      <c r="H323" s="1859"/>
      <c r="I323" s="1859"/>
      <c r="J323" s="1859"/>
      <c r="M323" s="1859"/>
    </row>
    <row r="324" spans="2:13" s="1708" customFormat="1" x14ac:dyDescent="0.25">
      <c r="B324" s="1864"/>
      <c r="H324" s="1859"/>
      <c r="I324" s="1859"/>
      <c r="J324" s="1859"/>
      <c r="M324" s="1859"/>
    </row>
    <row r="325" spans="2:13" s="1708" customFormat="1" x14ac:dyDescent="0.25">
      <c r="B325" s="1864"/>
      <c r="H325" s="1859"/>
      <c r="I325" s="1859"/>
      <c r="J325" s="1859"/>
      <c r="M325" s="1859"/>
    </row>
    <row r="326" spans="2:13" s="1708" customFormat="1" x14ac:dyDescent="0.25">
      <c r="B326" s="1864"/>
      <c r="H326" s="1859"/>
      <c r="I326" s="1859"/>
      <c r="J326" s="1859"/>
      <c r="M326" s="1859"/>
    </row>
    <row r="327" spans="2:13" s="1708" customFormat="1" x14ac:dyDescent="0.25">
      <c r="B327" s="1864"/>
      <c r="H327" s="1859"/>
      <c r="I327" s="1859"/>
      <c r="J327" s="1859"/>
      <c r="M327" s="1859"/>
    </row>
    <row r="328" spans="2:13" s="1708" customFormat="1" x14ac:dyDescent="0.25">
      <c r="B328" s="1864"/>
      <c r="H328" s="1859"/>
      <c r="I328" s="1859"/>
      <c r="J328" s="1859"/>
      <c r="M328" s="1859"/>
    </row>
    <row r="329" spans="2:13" s="1708" customFormat="1" x14ac:dyDescent="0.25">
      <c r="B329" s="1864"/>
      <c r="H329" s="1859"/>
      <c r="I329" s="1859"/>
      <c r="J329" s="1859"/>
      <c r="M329" s="1859"/>
    </row>
    <row r="330" spans="2:13" s="1708" customFormat="1" x14ac:dyDescent="0.25">
      <c r="B330" s="1864"/>
      <c r="H330" s="1859"/>
      <c r="I330" s="1859"/>
      <c r="J330" s="1859"/>
      <c r="M330" s="1859"/>
    </row>
    <row r="331" spans="2:13" s="1708" customFormat="1" x14ac:dyDescent="0.25">
      <c r="B331" s="1864"/>
      <c r="H331" s="1859"/>
      <c r="I331" s="1859"/>
      <c r="J331" s="1859"/>
      <c r="M331" s="1859"/>
    </row>
    <row r="332" spans="2:13" s="1708" customFormat="1" x14ac:dyDescent="0.25">
      <c r="B332" s="1864"/>
      <c r="H332" s="1859"/>
      <c r="I332" s="1859"/>
      <c r="J332" s="1859"/>
      <c r="M332" s="1859"/>
    </row>
    <row r="333" spans="2:13" s="1708" customFormat="1" x14ac:dyDescent="0.25">
      <c r="B333" s="1864"/>
      <c r="H333" s="1859"/>
      <c r="I333" s="1859"/>
      <c r="J333" s="1859"/>
      <c r="M333" s="1859"/>
    </row>
    <row r="334" spans="2:13" s="1708" customFormat="1" x14ac:dyDescent="0.25">
      <c r="B334" s="1864"/>
      <c r="H334" s="1859"/>
      <c r="I334" s="1859"/>
      <c r="J334" s="1859"/>
      <c r="M334" s="1859"/>
    </row>
    <row r="335" spans="2:13" s="1708" customFormat="1" x14ac:dyDescent="0.25">
      <c r="B335" s="1864"/>
      <c r="H335" s="1859"/>
      <c r="I335" s="1859"/>
      <c r="J335" s="1859"/>
      <c r="M335" s="1859"/>
    </row>
    <row r="336" spans="2:13" s="1708" customFormat="1" x14ac:dyDescent="0.25">
      <c r="B336" s="1864"/>
      <c r="H336" s="1859"/>
      <c r="I336" s="1859"/>
      <c r="J336" s="1859"/>
      <c r="M336" s="1859"/>
    </row>
    <row r="337" spans="2:13" s="1708" customFormat="1" x14ac:dyDescent="0.25">
      <c r="B337" s="1864"/>
      <c r="H337" s="1859"/>
      <c r="I337" s="1859"/>
      <c r="J337" s="1859"/>
      <c r="M337" s="1859"/>
    </row>
    <row r="338" spans="2:13" s="1708" customFormat="1" x14ac:dyDescent="0.25">
      <c r="B338" s="1864"/>
      <c r="H338" s="1859"/>
      <c r="I338" s="1859"/>
      <c r="J338" s="1859"/>
      <c r="M338" s="1859"/>
    </row>
    <row r="339" spans="2:13" s="1708" customFormat="1" x14ac:dyDescent="0.25">
      <c r="B339" s="1864"/>
      <c r="H339" s="1859"/>
      <c r="I339" s="1859"/>
      <c r="J339" s="1859"/>
      <c r="M339" s="1859"/>
    </row>
    <row r="340" spans="2:13" s="1708" customFormat="1" x14ac:dyDescent="0.25">
      <c r="B340" s="1864"/>
      <c r="H340" s="1859"/>
      <c r="I340" s="1859"/>
      <c r="J340" s="1859"/>
      <c r="M340" s="1859"/>
    </row>
    <row r="341" spans="2:13" s="1708" customFormat="1" x14ac:dyDescent="0.25">
      <c r="B341" s="1864"/>
      <c r="H341" s="1859"/>
      <c r="I341" s="1859"/>
      <c r="J341" s="1859"/>
      <c r="M341" s="1859"/>
    </row>
    <row r="342" spans="2:13" s="1708" customFormat="1" x14ac:dyDescent="0.25">
      <c r="B342" s="1864"/>
      <c r="H342" s="1859"/>
      <c r="I342" s="1859"/>
      <c r="J342" s="1859"/>
      <c r="M342" s="1859"/>
    </row>
    <row r="343" spans="2:13" s="1708" customFormat="1" x14ac:dyDescent="0.25">
      <c r="B343" s="1864"/>
      <c r="H343" s="1859"/>
      <c r="I343" s="1859"/>
      <c r="J343" s="1859"/>
      <c r="M343" s="1859"/>
    </row>
    <row r="344" spans="2:13" s="1708" customFormat="1" x14ac:dyDescent="0.25">
      <c r="B344" s="1864"/>
      <c r="H344" s="1859"/>
      <c r="I344" s="1859"/>
      <c r="J344" s="1859"/>
      <c r="M344" s="1859"/>
    </row>
    <row r="345" spans="2:13" s="1708" customFormat="1" x14ac:dyDescent="0.25">
      <c r="B345" s="1864"/>
      <c r="H345" s="1859"/>
      <c r="I345" s="1859"/>
      <c r="J345" s="1859"/>
      <c r="M345" s="1859"/>
    </row>
    <row r="346" spans="2:13" s="1708" customFormat="1" x14ac:dyDescent="0.25">
      <c r="B346" s="1864"/>
      <c r="H346" s="1859"/>
      <c r="I346" s="1859"/>
      <c r="J346" s="1859"/>
      <c r="M346" s="1859"/>
    </row>
    <row r="347" spans="2:13" s="1708" customFormat="1" x14ac:dyDescent="0.25">
      <c r="B347" s="1864"/>
      <c r="H347" s="1859"/>
      <c r="I347" s="1859"/>
      <c r="J347" s="1859"/>
      <c r="M347" s="1859"/>
    </row>
    <row r="348" spans="2:13" s="1708" customFormat="1" x14ac:dyDescent="0.25">
      <c r="B348" s="1864"/>
      <c r="H348" s="1859"/>
      <c r="I348" s="1859"/>
      <c r="J348" s="1859"/>
      <c r="M348" s="1859"/>
    </row>
    <row r="349" spans="2:13" s="1708" customFormat="1" x14ac:dyDescent="0.25">
      <c r="B349" s="1864"/>
      <c r="H349" s="1859"/>
      <c r="I349" s="1859"/>
      <c r="J349" s="1859"/>
      <c r="M349" s="1859"/>
    </row>
    <row r="350" spans="2:13" s="1708" customFormat="1" x14ac:dyDescent="0.25">
      <c r="B350" s="1864"/>
      <c r="H350" s="1859"/>
      <c r="I350" s="1859"/>
      <c r="J350" s="1859"/>
      <c r="M350" s="1859"/>
    </row>
    <row r="351" spans="2:13" s="1708" customFormat="1" x14ac:dyDescent="0.25">
      <c r="B351" s="1864"/>
      <c r="H351" s="1859"/>
      <c r="I351" s="1859"/>
      <c r="J351" s="1859"/>
      <c r="M351" s="1859"/>
    </row>
    <row r="352" spans="2:13" s="1708" customFormat="1" x14ac:dyDescent="0.25">
      <c r="B352" s="1864"/>
      <c r="H352" s="1859"/>
      <c r="I352" s="1859"/>
      <c r="J352" s="1859"/>
      <c r="M352" s="1859"/>
    </row>
    <row r="353" spans="2:13" s="1708" customFormat="1" x14ac:dyDescent="0.25">
      <c r="B353" s="1864"/>
      <c r="H353" s="1859"/>
      <c r="I353" s="1859"/>
      <c r="J353" s="1859"/>
      <c r="M353" s="1859"/>
    </row>
    <row r="354" spans="2:13" s="1708" customFormat="1" x14ac:dyDescent="0.25">
      <c r="B354" s="1864"/>
      <c r="H354" s="1859"/>
      <c r="I354" s="1859"/>
      <c r="J354" s="1859"/>
      <c r="M354" s="1859"/>
    </row>
    <row r="355" spans="2:13" s="1708" customFormat="1" x14ac:dyDescent="0.25">
      <c r="B355" s="1864"/>
      <c r="H355" s="1859"/>
      <c r="I355" s="1859"/>
      <c r="J355" s="1859"/>
      <c r="M355" s="1859"/>
    </row>
    <row r="356" spans="2:13" s="1708" customFormat="1" x14ac:dyDescent="0.25">
      <c r="B356" s="1864"/>
      <c r="H356" s="1859"/>
      <c r="I356" s="1859"/>
      <c r="J356" s="1859"/>
      <c r="M356" s="1859"/>
    </row>
    <row r="357" spans="2:13" s="1708" customFormat="1" x14ac:dyDescent="0.25">
      <c r="B357" s="1864"/>
      <c r="H357" s="1859"/>
      <c r="I357" s="1859"/>
      <c r="J357" s="1859"/>
      <c r="M357" s="1859"/>
    </row>
    <row r="358" spans="2:13" s="1708" customFormat="1" x14ac:dyDescent="0.25">
      <c r="B358" s="1864"/>
      <c r="H358" s="1859"/>
      <c r="I358" s="1859"/>
      <c r="J358" s="1859"/>
      <c r="M358" s="1859"/>
    </row>
    <row r="359" spans="2:13" s="1708" customFormat="1" x14ac:dyDescent="0.25">
      <c r="B359" s="1864"/>
      <c r="H359" s="1859"/>
      <c r="I359" s="1859"/>
      <c r="J359" s="1859"/>
      <c r="M359" s="1859"/>
    </row>
    <row r="360" spans="2:13" s="1708" customFormat="1" x14ac:dyDescent="0.25">
      <c r="B360" s="1864"/>
      <c r="H360" s="1859"/>
      <c r="I360" s="1859"/>
      <c r="J360" s="1859"/>
      <c r="M360" s="1859"/>
    </row>
    <row r="361" spans="2:13" s="1708" customFormat="1" x14ac:dyDescent="0.25">
      <c r="B361" s="1864"/>
      <c r="H361" s="1859"/>
      <c r="I361" s="1859"/>
      <c r="J361" s="1859"/>
      <c r="M361" s="1859"/>
    </row>
    <row r="362" spans="2:13" s="1708" customFormat="1" x14ac:dyDescent="0.25">
      <c r="B362" s="1864"/>
      <c r="H362" s="1859"/>
      <c r="I362" s="1859"/>
      <c r="J362" s="1859"/>
      <c r="M362" s="1859"/>
    </row>
    <row r="363" spans="2:13" s="1708" customFormat="1" x14ac:dyDescent="0.25">
      <c r="B363" s="1864"/>
      <c r="H363" s="1859"/>
      <c r="I363" s="1859"/>
      <c r="J363" s="1859"/>
      <c r="M363" s="1859"/>
    </row>
    <row r="364" spans="2:13" s="1708" customFormat="1" x14ac:dyDescent="0.25">
      <c r="B364" s="1864"/>
      <c r="H364" s="1859"/>
      <c r="I364" s="1859"/>
      <c r="J364" s="1859"/>
      <c r="M364" s="1859"/>
    </row>
    <row r="365" spans="2:13" s="1708" customFormat="1" x14ac:dyDescent="0.25">
      <c r="B365" s="1864"/>
      <c r="H365" s="1859"/>
      <c r="I365" s="1859"/>
      <c r="J365" s="1859"/>
      <c r="M365" s="1859"/>
    </row>
    <row r="366" spans="2:13" s="1708" customFormat="1" x14ac:dyDescent="0.25">
      <c r="B366" s="1864"/>
      <c r="H366" s="1859"/>
      <c r="I366" s="1859"/>
      <c r="J366" s="1859"/>
      <c r="M366" s="1859"/>
    </row>
    <row r="367" spans="2:13" s="1708" customFormat="1" x14ac:dyDescent="0.25">
      <c r="B367" s="1864"/>
      <c r="H367" s="1859"/>
      <c r="I367" s="1859"/>
      <c r="J367" s="1859"/>
      <c r="M367" s="1859"/>
    </row>
    <row r="368" spans="2:13" s="1708" customFormat="1" x14ac:dyDescent="0.25">
      <c r="B368" s="1864"/>
      <c r="H368" s="1859"/>
      <c r="I368" s="1859"/>
      <c r="J368" s="1859"/>
      <c r="M368" s="1859"/>
    </row>
    <row r="369" spans="2:13" s="1708" customFormat="1" x14ac:dyDescent="0.25">
      <c r="B369" s="1864"/>
      <c r="H369" s="1859"/>
      <c r="I369" s="1859"/>
      <c r="J369" s="1859"/>
      <c r="M369" s="1859"/>
    </row>
    <row r="370" spans="2:13" s="1708" customFormat="1" x14ac:dyDescent="0.25">
      <c r="B370" s="1864"/>
      <c r="H370" s="1859"/>
      <c r="I370" s="1859"/>
      <c r="J370" s="1859"/>
      <c r="M370" s="1859"/>
    </row>
    <row r="371" spans="2:13" s="1708" customFormat="1" x14ac:dyDescent="0.25">
      <c r="B371" s="1864"/>
      <c r="H371" s="1859"/>
      <c r="I371" s="1859"/>
      <c r="J371" s="1859"/>
      <c r="M371" s="1859"/>
    </row>
    <row r="372" spans="2:13" s="1708" customFormat="1" x14ac:dyDescent="0.25">
      <c r="B372" s="1864"/>
      <c r="H372" s="1859"/>
      <c r="I372" s="1859"/>
      <c r="J372" s="1859"/>
      <c r="M372" s="1859"/>
    </row>
    <row r="373" spans="2:13" s="1708" customFormat="1" x14ac:dyDescent="0.25">
      <c r="B373" s="1864"/>
      <c r="H373" s="1859"/>
      <c r="I373" s="1859"/>
      <c r="J373" s="1859"/>
      <c r="M373" s="1859"/>
    </row>
    <row r="374" spans="2:13" s="1708" customFormat="1" x14ac:dyDescent="0.25">
      <c r="B374" s="1864"/>
      <c r="H374" s="1859"/>
      <c r="I374" s="1859"/>
      <c r="J374" s="1859"/>
      <c r="M374" s="1859"/>
    </row>
    <row r="375" spans="2:13" s="1708" customFormat="1" x14ac:dyDescent="0.25">
      <c r="B375" s="1864"/>
      <c r="H375" s="1859"/>
      <c r="I375" s="1859"/>
      <c r="J375" s="1859"/>
      <c r="M375" s="1859"/>
    </row>
    <row r="376" spans="2:13" s="1708" customFormat="1" x14ac:dyDescent="0.25">
      <c r="B376" s="1864"/>
      <c r="H376" s="1859"/>
      <c r="I376" s="1859"/>
      <c r="J376" s="1859"/>
      <c r="M376" s="1859"/>
    </row>
    <row r="377" spans="2:13" s="1708" customFormat="1" x14ac:dyDescent="0.25">
      <c r="B377" s="1864"/>
      <c r="H377" s="1859"/>
      <c r="I377" s="1859"/>
      <c r="J377" s="1859"/>
      <c r="M377" s="1859"/>
    </row>
    <row r="378" spans="2:13" s="1708" customFormat="1" x14ac:dyDescent="0.25">
      <c r="B378" s="1864"/>
      <c r="H378" s="1859"/>
      <c r="I378" s="1859"/>
      <c r="J378" s="1859"/>
      <c r="M378" s="1859"/>
    </row>
    <row r="379" spans="2:13" s="1708" customFormat="1" x14ac:dyDescent="0.25">
      <c r="B379" s="1864"/>
      <c r="H379" s="1859"/>
      <c r="I379" s="1859"/>
      <c r="J379" s="1859"/>
      <c r="M379" s="1859"/>
    </row>
    <row r="380" spans="2:13" s="1708" customFormat="1" x14ac:dyDescent="0.25">
      <c r="B380" s="1864"/>
      <c r="H380" s="1859"/>
      <c r="I380" s="1859"/>
      <c r="J380" s="1859"/>
      <c r="M380" s="1859"/>
    </row>
    <row r="381" spans="2:13" s="1708" customFormat="1" x14ac:dyDescent="0.25">
      <c r="B381" s="1864"/>
      <c r="H381" s="1859"/>
      <c r="I381" s="1859"/>
      <c r="J381" s="1859"/>
      <c r="M381" s="1859"/>
    </row>
    <row r="382" spans="2:13" s="1708" customFormat="1" x14ac:dyDescent="0.25">
      <c r="B382" s="1864"/>
      <c r="H382" s="1859"/>
      <c r="I382" s="1859"/>
      <c r="J382" s="1859"/>
      <c r="M382" s="1859"/>
    </row>
    <row r="383" spans="2:13" s="1708" customFormat="1" x14ac:dyDescent="0.25">
      <c r="B383" s="1864"/>
      <c r="H383" s="1859"/>
      <c r="I383" s="1859"/>
      <c r="J383" s="1859"/>
      <c r="M383" s="1859"/>
    </row>
    <row r="384" spans="2:13" s="1708" customFormat="1" x14ac:dyDescent="0.25">
      <c r="B384" s="1864"/>
      <c r="H384" s="1859"/>
      <c r="I384" s="1859"/>
      <c r="J384" s="1859"/>
      <c r="M384" s="1859"/>
    </row>
    <row r="385" spans="2:13" s="1708" customFormat="1" x14ac:dyDescent="0.25">
      <c r="B385" s="1864"/>
      <c r="H385" s="1859"/>
      <c r="I385" s="1859"/>
      <c r="J385" s="1859"/>
      <c r="M385" s="1859"/>
    </row>
    <row r="386" spans="2:13" s="1708" customFormat="1" x14ac:dyDescent="0.25">
      <c r="B386" s="1864"/>
      <c r="H386" s="1859"/>
      <c r="I386" s="1859"/>
      <c r="J386" s="1859"/>
      <c r="M386" s="1859"/>
    </row>
    <row r="387" spans="2:13" s="1708" customFormat="1" x14ac:dyDescent="0.25">
      <c r="B387" s="1864"/>
      <c r="H387" s="1859"/>
      <c r="I387" s="1859"/>
      <c r="J387" s="1859"/>
      <c r="M387" s="1859"/>
    </row>
    <row r="388" spans="2:13" s="1708" customFormat="1" x14ac:dyDescent="0.25">
      <c r="B388" s="1864"/>
      <c r="H388" s="1859"/>
      <c r="I388" s="1859"/>
      <c r="J388" s="1859"/>
      <c r="M388" s="1859"/>
    </row>
    <row r="389" spans="2:13" s="1708" customFormat="1" x14ac:dyDescent="0.25">
      <c r="B389" s="1864"/>
      <c r="H389" s="1859"/>
      <c r="I389" s="1859"/>
      <c r="J389" s="1859"/>
      <c r="M389" s="1859"/>
    </row>
    <row r="390" spans="2:13" s="1708" customFormat="1" x14ac:dyDescent="0.25">
      <c r="B390" s="1864"/>
      <c r="H390" s="1859"/>
      <c r="I390" s="1859"/>
      <c r="J390" s="1859"/>
      <c r="M390" s="1859"/>
    </row>
    <row r="391" spans="2:13" s="1708" customFormat="1" x14ac:dyDescent="0.25">
      <c r="B391" s="1864"/>
      <c r="H391" s="1859"/>
      <c r="I391" s="1859"/>
      <c r="J391" s="1859"/>
      <c r="M391" s="1859"/>
    </row>
    <row r="392" spans="2:13" s="1708" customFormat="1" x14ac:dyDescent="0.25">
      <c r="B392" s="1864"/>
      <c r="H392" s="1859"/>
      <c r="I392" s="1859"/>
      <c r="J392" s="1859"/>
      <c r="M392" s="1859"/>
    </row>
    <row r="393" spans="2:13" s="1708" customFormat="1" x14ac:dyDescent="0.25">
      <c r="B393" s="1864"/>
      <c r="H393" s="1859"/>
      <c r="I393" s="1859"/>
      <c r="J393" s="1859"/>
      <c r="M393" s="1859"/>
    </row>
    <row r="394" spans="2:13" s="1708" customFormat="1" x14ac:dyDescent="0.25">
      <c r="B394" s="1864"/>
      <c r="H394" s="1859"/>
      <c r="I394" s="1859"/>
      <c r="J394" s="1859"/>
      <c r="M394" s="1859"/>
    </row>
    <row r="395" spans="2:13" s="1708" customFormat="1" x14ac:dyDescent="0.25">
      <c r="B395" s="1864"/>
      <c r="H395" s="1859"/>
      <c r="I395" s="1859"/>
      <c r="J395" s="1859"/>
      <c r="M395" s="1859"/>
    </row>
    <row r="396" spans="2:13" s="1708" customFormat="1" x14ac:dyDescent="0.25">
      <c r="B396" s="1864"/>
      <c r="H396" s="1859"/>
      <c r="I396" s="1859"/>
      <c r="J396" s="1859"/>
      <c r="M396" s="1859"/>
    </row>
    <row r="397" spans="2:13" s="1708" customFormat="1" x14ac:dyDescent="0.25">
      <c r="B397" s="1864"/>
      <c r="H397" s="1859"/>
      <c r="I397" s="1859"/>
      <c r="J397" s="1859"/>
      <c r="M397" s="1859"/>
    </row>
    <row r="398" spans="2:13" s="1708" customFormat="1" x14ac:dyDescent="0.25">
      <c r="B398" s="1864"/>
      <c r="H398" s="1859"/>
      <c r="I398" s="1859"/>
      <c r="J398" s="1859"/>
      <c r="M398" s="1859"/>
    </row>
    <row r="399" spans="2:13" s="1708" customFormat="1" x14ac:dyDescent="0.25">
      <c r="B399" s="1864"/>
      <c r="H399" s="1859"/>
      <c r="I399" s="1859"/>
      <c r="J399" s="1859"/>
      <c r="M399" s="1859"/>
    </row>
    <row r="400" spans="2:13" s="1708" customFormat="1" x14ac:dyDescent="0.25">
      <c r="B400" s="1864"/>
      <c r="H400" s="1859"/>
      <c r="I400" s="1859"/>
      <c r="J400" s="1859"/>
      <c r="M400" s="1859"/>
    </row>
    <row r="401" spans="2:13" s="1708" customFormat="1" x14ac:dyDescent="0.25">
      <c r="B401" s="1864"/>
      <c r="H401" s="1859"/>
      <c r="I401" s="1859"/>
      <c r="J401" s="1859"/>
      <c r="M401" s="1859"/>
    </row>
    <row r="402" spans="2:13" s="1708" customFormat="1" x14ac:dyDescent="0.25">
      <c r="B402" s="1864"/>
      <c r="H402" s="1859"/>
      <c r="I402" s="1859"/>
      <c r="J402" s="1859"/>
      <c r="M402" s="1859"/>
    </row>
    <row r="403" spans="2:13" s="1708" customFormat="1" x14ac:dyDescent="0.25">
      <c r="B403" s="1864"/>
      <c r="H403" s="1859"/>
      <c r="I403" s="1859"/>
      <c r="J403" s="1859"/>
      <c r="M403" s="1859"/>
    </row>
    <row r="404" spans="2:13" s="1708" customFormat="1" x14ac:dyDescent="0.25">
      <c r="B404" s="1864"/>
      <c r="H404" s="1859"/>
      <c r="I404" s="1859"/>
      <c r="J404" s="1859"/>
      <c r="M404" s="1859"/>
    </row>
    <row r="405" spans="2:13" s="1708" customFormat="1" x14ac:dyDescent="0.25">
      <c r="B405" s="1864"/>
      <c r="H405" s="1859"/>
      <c r="I405" s="1859"/>
      <c r="J405" s="1859"/>
      <c r="M405" s="1859"/>
    </row>
    <row r="406" spans="2:13" s="1708" customFormat="1" x14ac:dyDescent="0.25">
      <c r="B406" s="1864"/>
      <c r="H406" s="1859"/>
      <c r="I406" s="1859"/>
      <c r="J406" s="1859"/>
      <c r="M406" s="1859"/>
    </row>
    <row r="407" spans="2:13" s="1708" customFormat="1" x14ac:dyDescent="0.25">
      <c r="B407" s="1864"/>
      <c r="H407" s="1859"/>
      <c r="I407" s="1859"/>
      <c r="J407" s="1859"/>
      <c r="M407" s="1859"/>
    </row>
    <row r="408" spans="2:13" s="1708" customFormat="1" x14ac:dyDescent="0.25">
      <c r="B408" s="1864"/>
      <c r="H408" s="1859"/>
      <c r="I408" s="1859"/>
      <c r="J408" s="1859"/>
      <c r="M408" s="1859"/>
    </row>
    <row r="409" spans="2:13" s="1708" customFormat="1" x14ac:dyDescent="0.25">
      <c r="B409" s="1864"/>
      <c r="H409" s="1859"/>
      <c r="I409" s="1859"/>
      <c r="J409" s="1859"/>
      <c r="M409" s="1859"/>
    </row>
    <row r="410" spans="2:13" s="1708" customFormat="1" x14ac:dyDescent="0.25">
      <c r="B410" s="1864"/>
      <c r="H410" s="1859"/>
      <c r="I410" s="1859"/>
      <c r="J410" s="1859"/>
      <c r="M410" s="1859"/>
    </row>
    <row r="411" spans="2:13" s="1708" customFormat="1" x14ac:dyDescent="0.25">
      <c r="B411" s="1864"/>
      <c r="H411" s="1859"/>
      <c r="I411" s="1859"/>
      <c r="J411" s="1859"/>
      <c r="M411" s="1859"/>
    </row>
    <row r="412" spans="2:13" s="1708" customFormat="1" x14ac:dyDescent="0.25">
      <c r="B412" s="1864"/>
      <c r="H412" s="1859"/>
      <c r="I412" s="1859"/>
      <c r="J412" s="1859"/>
      <c r="M412" s="1859"/>
    </row>
    <row r="413" spans="2:13" s="1708" customFormat="1" x14ac:dyDescent="0.25">
      <c r="B413" s="1864"/>
      <c r="H413" s="1859"/>
      <c r="I413" s="1859"/>
      <c r="J413" s="1859"/>
      <c r="M413" s="1859"/>
    </row>
    <row r="414" spans="2:13" s="1708" customFormat="1" x14ac:dyDescent="0.25">
      <c r="B414" s="1864"/>
      <c r="H414" s="1859"/>
      <c r="I414" s="1859"/>
      <c r="J414" s="1859"/>
      <c r="M414" s="1859"/>
    </row>
    <row r="415" spans="2:13" s="1708" customFormat="1" x14ac:dyDescent="0.25">
      <c r="B415" s="1864"/>
      <c r="H415" s="1859"/>
      <c r="I415" s="1859"/>
      <c r="J415" s="1859"/>
      <c r="M415" s="1859"/>
    </row>
    <row r="416" spans="2:13" s="1708" customFormat="1" x14ac:dyDescent="0.25">
      <c r="B416" s="1864"/>
      <c r="H416" s="1859"/>
      <c r="I416" s="1859"/>
      <c r="J416" s="1859"/>
      <c r="M416" s="1859"/>
    </row>
    <row r="417" spans="2:13" s="1708" customFormat="1" x14ac:dyDescent="0.25">
      <c r="B417" s="1864"/>
      <c r="H417" s="1859"/>
      <c r="I417" s="1859"/>
      <c r="J417" s="1859"/>
      <c r="M417" s="1859"/>
    </row>
    <row r="418" spans="2:13" s="1708" customFormat="1" x14ac:dyDescent="0.25">
      <c r="B418" s="1864"/>
      <c r="H418" s="1859"/>
      <c r="I418" s="1859"/>
      <c r="J418" s="1859"/>
      <c r="M418" s="1859"/>
    </row>
    <row r="419" spans="2:13" s="1708" customFormat="1" x14ac:dyDescent="0.25">
      <c r="B419" s="1864"/>
      <c r="H419" s="1859"/>
      <c r="I419" s="1859"/>
      <c r="J419" s="1859"/>
      <c r="M419" s="1859"/>
    </row>
    <row r="420" spans="2:13" s="1708" customFormat="1" x14ac:dyDescent="0.25">
      <c r="B420" s="1864"/>
      <c r="H420" s="1859"/>
      <c r="I420" s="1859"/>
      <c r="J420" s="1859"/>
      <c r="M420" s="1859"/>
    </row>
    <row r="421" spans="2:13" s="1708" customFormat="1" x14ac:dyDescent="0.25">
      <c r="B421" s="1864"/>
      <c r="H421" s="1859"/>
      <c r="I421" s="1859"/>
      <c r="J421" s="1859"/>
      <c r="M421" s="1859"/>
    </row>
    <row r="422" spans="2:13" s="1708" customFormat="1" x14ac:dyDescent="0.25">
      <c r="B422" s="1864"/>
      <c r="H422" s="1859"/>
      <c r="I422" s="1859"/>
      <c r="J422" s="1859"/>
      <c r="M422" s="1859"/>
    </row>
    <row r="423" spans="2:13" s="1708" customFormat="1" x14ac:dyDescent="0.25">
      <c r="B423" s="1864"/>
      <c r="H423" s="1859"/>
      <c r="I423" s="1859"/>
      <c r="J423" s="1859"/>
      <c r="M423" s="1859"/>
    </row>
    <row r="424" spans="2:13" s="1708" customFormat="1" x14ac:dyDescent="0.25">
      <c r="B424" s="1864"/>
      <c r="H424" s="1859"/>
      <c r="I424" s="1859"/>
      <c r="J424" s="1859"/>
      <c r="M424" s="1859"/>
    </row>
    <row r="425" spans="2:13" s="1708" customFormat="1" x14ac:dyDescent="0.25">
      <c r="B425" s="1864"/>
      <c r="H425" s="1859"/>
      <c r="I425" s="1859"/>
      <c r="J425" s="1859"/>
      <c r="M425" s="1859"/>
    </row>
    <row r="426" spans="2:13" s="1708" customFormat="1" x14ac:dyDescent="0.25">
      <c r="B426" s="1864"/>
      <c r="H426" s="1859"/>
      <c r="I426" s="1859"/>
      <c r="J426" s="1859"/>
      <c r="M426" s="1859"/>
    </row>
    <row r="427" spans="2:13" s="1708" customFormat="1" x14ac:dyDescent="0.25">
      <c r="B427" s="1864"/>
      <c r="H427" s="1859"/>
      <c r="I427" s="1859"/>
      <c r="J427" s="1859"/>
      <c r="M427" s="1859"/>
    </row>
    <row r="428" spans="2:13" s="1708" customFormat="1" x14ac:dyDescent="0.25">
      <c r="B428" s="1864"/>
      <c r="H428" s="1859"/>
      <c r="I428" s="1859"/>
      <c r="J428" s="1859"/>
      <c r="M428" s="1859"/>
    </row>
    <row r="429" spans="2:13" s="1708" customFormat="1" x14ac:dyDescent="0.25">
      <c r="B429" s="1864"/>
      <c r="H429" s="1859"/>
      <c r="I429" s="1859"/>
      <c r="J429" s="1859"/>
      <c r="M429" s="1859"/>
    </row>
    <row r="430" spans="2:13" s="1708" customFormat="1" x14ac:dyDescent="0.25">
      <c r="B430" s="1864"/>
      <c r="H430" s="1859"/>
      <c r="I430" s="1859"/>
      <c r="J430" s="1859"/>
      <c r="M430" s="1859"/>
    </row>
    <row r="431" spans="2:13" s="1708" customFormat="1" x14ac:dyDescent="0.25">
      <c r="B431" s="1864"/>
      <c r="H431" s="1859"/>
      <c r="I431" s="1859"/>
      <c r="J431" s="1859"/>
      <c r="M431" s="1859"/>
    </row>
    <row r="432" spans="2:13" s="1708" customFormat="1" x14ac:dyDescent="0.25">
      <c r="B432" s="1864"/>
      <c r="H432" s="1859"/>
      <c r="I432" s="1859"/>
      <c r="J432" s="1859"/>
      <c r="M432" s="1859"/>
    </row>
    <row r="433" spans="2:13" s="1708" customFormat="1" x14ac:dyDescent="0.25">
      <c r="B433" s="1864"/>
      <c r="H433" s="1859"/>
      <c r="I433" s="1859"/>
      <c r="J433" s="1859"/>
      <c r="M433" s="1859"/>
    </row>
    <row r="434" spans="2:13" s="1708" customFormat="1" x14ac:dyDescent="0.25">
      <c r="B434" s="1864"/>
      <c r="H434" s="1859"/>
      <c r="I434" s="1859"/>
      <c r="J434" s="1859"/>
      <c r="M434" s="1859"/>
    </row>
    <row r="435" spans="2:13" s="1708" customFormat="1" x14ac:dyDescent="0.25">
      <c r="B435" s="1864"/>
      <c r="H435" s="1859"/>
      <c r="I435" s="1859"/>
      <c r="J435" s="1859"/>
      <c r="M435" s="1859"/>
    </row>
    <row r="436" spans="2:13" s="1708" customFormat="1" x14ac:dyDescent="0.25">
      <c r="B436" s="1864"/>
      <c r="H436" s="1859"/>
      <c r="I436" s="1859"/>
      <c r="J436" s="1859"/>
      <c r="M436" s="1859"/>
    </row>
    <row r="437" spans="2:13" s="1708" customFormat="1" x14ac:dyDescent="0.25">
      <c r="B437" s="1864"/>
      <c r="H437" s="1859"/>
      <c r="I437" s="1859"/>
      <c r="J437" s="1859"/>
      <c r="M437" s="1859"/>
    </row>
    <row r="438" spans="2:13" s="1708" customFormat="1" x14ac:dyDescent="0.25">
      <c r="B438" s="1864"/>
      <c r="H438" s="1859"/>
      <c r="I438" s="1859"/>
      <c r="J438" s="1859"/>
      <c r="M438" s="1859"/>
    </row>
    <row r="439" spans="2:13" s="1708" customFormat="1" x14ac:dyDescent="0.25">
      <c r="B439" s="1864"/>
      <c r="H439" s="1859"/>
      <c r="I439" s="1859"/>
      <c r="J439" s="1859"/>
      <c r="M439" s="1859"/>
    </row>
    <row r="440" spans="2:13" s="1708" customFormat="1" x14ac:dyDescent="0.25">
      <c r="B440" s="1864"/>
      <c r="H440" s="1859"/>
      <c r="I440" s="1859"/>
      <c r="J440" s="1859"/>
      <c r="M440" s="1859"/>
    </row>
    <row r="441" spans="2:13" s="1708" customFormat="1" x14ac:dyDescent="0.25">
      <c r="B441" s="1864"/>
      <c r="H441" s="1859"/>
      <c r="I441" s="1859"/>
      <c r="J441" s="1859"/>
      <c r="M441" s="1859"/>
    </row>
    <row r="442" spans="2:13" s="1708" customFormat="1" x14ac:dyDescent="0.25">
      <c r="B442" s="1864"/>
      <c r="H442" s="1859"/>
      <c r="I442" s="1859"/>
      <c r="J442" s="1859"/>
      <c r="M442" s="1859"/>
    </row>
    <row r="443" spans="2:13" s="1708" customFormat="1" x14ac:dyDescent="0.25">
      <c r="B443" s="1864"/>
      <c r="H443" s="1859"/>
      <c r="I443" s="1859"/>
      <c r="J443" s="1859"/>
      <c r="M443" s="1859"/>
    </row>
    <row r="444" spans="2:13" s="1708" customFormat="1" x14ac:dyDescent="0.25">
      <c r="B444" s="1864"/>
      <c r="H444" s="1859"/>
      <c r="I444" s="1859"/>
      <c r="J444" s="1859"/>
      <c r="M444" s="1859"/>
    </row>
    <row r="445" spans="2:13" s="1708" customFormat="1" x14ac:dyDescent="0.25">
      <c r="B445" s="1864"/>
      <c r="H445" s="1859"/>
      <c r="I445" s="1859"/>
      <c r="J445" s="1859"/>
      <c r="M445" s="1859"/>
    </row>
    <row r="446" spans="2:13" s="1708" customFormat="1" x14ac:dyDescent="0.25">
      <c r="B446" s="1864"/>
      <c r="H446" s="1859"/>
      <c r="I446" s="1859"/>
      <c r="J446" s="1859"/>
      <c r="M446" s="1859"/>
    </row>
    <row r="447" spans="2:13" s="1708" customFormat="1" x14ac:dyDescent="0.25">
      <c r="B447" s="1864"/>
      <c r="H447" s="1859"/>
      <c r="I447" s="1859"/>
      <c r="J447" s="1859"/>
      <c r="M447" s="1859"/>
    </row>
    <row r="448" spans="2:13" s="1708" customFormat="1" x14ac:dyDescent="0.25">
      <c r="B448" s="1864"/>
      <c r="H448" s="1859"/>
      <c r="I448" s="1859"/>
      <c r="J448" s="1859"/>
      <c r="M448" s="1859"/>
    </row>
    <row r="449" spans="2:13" s="1708" customFormat="1" x14ac:dyDescent="0.25">
      <c r="B449" s="1864"/>
      <c r="H449" s="1859"/>
      <c r="I449" s="1859"/>
      <c r="J449" s="1859"/>
      <c r="M449" s="1859"/>
    </row>
    <row r="450" spans="2:13" s="1708" customFormat="1" x14ac:dyDescent="0.25">
      <c r="B450" s="1864"/>
      <c r="H450" s="1859"/>
      <c r="I450" s="1859"/>
      <c r="J450" s="1859"/>
      <c r="M450" s="1859"/>
    </row>
    <row r="451" spans="2:13" s="1708" customFormat="1" x14ac:dyDescent="0.25">
      <c r="B451" s="1864"/>
      <c r="H451" s="1859"/>
      <c r="I451" s="1859"/>
      <c r="J451" s="1859"/>
      <c r="M451" s="1859"/>
    </row>
    <row r="452" spans="2:13" s="1708" customFormat="1" x14ac:dyDescent="0.25">
      <c r="B452" s="1864"/>
      <c r="H452" s="1859"/>
      <c r="I452" s="1859"/>
      <c r="J452" s="1859"/>
      <c r="M452" s="1859"/>
    </row>
    <row r="453" spans="2:13" s="1708" customFormat="1" x14ac:dyDescent="0.25">
      <c r="B453" s="1864"/>
      <c r="H453" s="1859"/>
      <c r="I453" s="1859"/>
      <c r="J453" s="1859"/>
      <c r="M453" s="1859"/>
    </row>
    <row r="454" spans="2:13" s="1708" customFormat="1" x14ac:dyDescent="0.25">
      <c r="B454" s="1864"/>
      <c r="H454" s="1859"/>
      <c r="I454" s="1859"/>
      <c r="J454" s="1859"/>
      <c r="M454" s="1859"/>
    </row>
    <row r="455" spans="2:13" s="1708" customFormat="1" x14ac:dyDescent="0.25">
      <c r="B455" s="1864"/>
      <c r="H455" s="1859"/>
      <c r="I455" s="1859"/>
      <c r="J455" s="1859"/>
      <c r="M455" s="1859"/>
    </row>
    <row r="456" spans="2:13" s="1708" customFormat="1" x14ac:dyDescent="0.25">
      <c r="B456" s="1864"/>
      <c r="H456" s="1859"/>
      <c r="I456" s="1859"/>
      <c r="J456" s="1859"/>
      <c r="M456" s="1859"/>
    </row>
    <row r="457" spans="2:13" s="1708" customFormat="1" x14ac:dyDescent="0.25">
      <c r="B457" s="1864"/>
      <c r="H457" s="1859"/>
      <c r="I457" s="1859"/>
      <c r="J457" s="1859"/>
      <c r="M457" s="1859"/>
    </row>
    <row r="458" spans="2:13" s="1708" customFormat="1" x14ac:dyDescent="0.25">
      <c r="B458" s="1864"/>
      <c r="H458" s="1859"/>
      <c r="I458" s="1859"/>
      <c r="J458" s="1859"/>
      <c r="M458" s="1859"/>
    </row>
    <row r="459" spans="2:13" s="1708" customFormat="1" x14ac:dyDescent="0.25">
      <c r="B459" s="1864"/>
      <c r="H459" s="1859"/>
      <c r="I459" s="1859"/>
      <c r="J459" s="1859"/>
      <c r="M459" s="1859"/>
    </row>
    <row r="460" spans="2:13" s="1708" customFormat="1" x14ac:dyDescent="0.25">
      <c r="B460" s="1864"/>
      <c r="H460" s="1859"/>
      <c r="I460" s="1859"/>
      <c r="J460" s="1859"/>
      <c r="M460" s="1859"/>
    </row>
    <row r="461" spans="2:13" s="1708" customFormat="1" x14ac:dyDescent="0.25">
      <c r="B461" s="1864"/>
      <c r="H461" s="1859"/>
      <c r="I461" s="1859"/>
      <c r="J461" s="1859"/>
      <c r="M461" s="1859"/>
    </row>
    <row r="462" spans="2:13" s="1708" customFormat="1" x14ac:dyDescent="0.25">
      <c r="B462" s="1864"/>
      <c r="H462" s="1859"/>
      <c r="I462" s="1859"/>
      <c r="J462" s="1859"/>
      <c r="M462" s="1859"/>
    </row>
    <row r="463" spans="2:13" s="1708" customFormat="1" x14ac:dyDescent="0.25">
      <c r="B463" s="1864"/>
      <c r="H463" s="1859"/>
      <c r="I463" s="1859"/>
      <c r="J463" s="1859"/>
      <c r="M463" s="1859"/>
    </row>
    <row r="464" spans="2:13" s="1708" customFormat="1" x14ac:dyDescent="0.25">
      <c r="B464" s="1864"/>
      <c r="H464" s="1859"/>
      <c r="I464" s="1859"/>
      <c r="J464" s="1859"/>
      <c r="M464" s="1859"/>
    </row>
    <row r="465" spans="2:13" s="1708" customFormat="1" x14ac:dyDescent="0.25">
      <c r="B465" s="1864"/>
      <c r="H465" s="1859"/>
      <c r="I465" s="1859"/>
      <c r="J465" s="1859"/>
      <c r="M465" s="1859"/>
    </row>
    <row r="466" spans="2:13" s="1708" customFormat="1" x14ac:dyDescent="0.25">
      <c r="B466" s="1864"/>
      <c r="H466" s="1859"/>
      <c r="I466" s="1859"/>
      <c r="J466" s="1859"/>
      <c r="M466" s="1859"/>
    </row>
    <row r="467" spans="2:13" s="1708" customFormat="1" x14ac:dyDescent="0.25">
      <c r="B467" s="1864"/>
      <c r="H467" s="1859"/>
      <c r="I467" s="1859"/>
      <c r="J467" s="1859"/>
      <c r="M467" s="1859"/>
    </row>
    <row r="468" spans="2:13" s="1708" customFormat="1" x14ac:dyDescent="0.25">
      <c r="B468" s="1864"/>
      <c r="H468" s="1859"/>
      <c r="I468" s="1859"/>
      <c r="J468" s="1859"/>
      <c r="M468" s="1859"/>
    </row>
    <row r="469" spans="2:13" s="1708" customFormat="1" x14ac:dyDescent="0.25">
      <c r="B469" s="1864"/>
      <c r="H469" s="1859"/>
      <c r="I469" s="1859"/>
      <c r="J469" s="1859"/>
      <c r="M469" s="1859"/>
    </row>
    <row r="470" spans="2:13" s="1708" customFormat="1" x14ac:dyDescent="0.25">
      <c r="B470" s="1864"/>
      <c r="H470" s="1859"/>
      <c r="I470" s="1859"/>
      <c r="J470" s="1859"/>
      <c r="M470" s="1859"/>
    </row>
    <row r="471" spans="2:13" s="1708" customFormat="1" x14ac:dyDescent="0.25">
      <c r="B471" s="1864"/>
      <c r="H471" s="1859"/>
      <c r="I471" s="1859"/>
      <c r="J471" s="1859"/>
      <c r="M471" s="1859"/>
    </row>
    <row r="472" spans="2:13" s="1708" customFormat="1" x14ac:dyDescent="0.25">
      <c r="B472" s="1864"/>
      <c r="H472" s="1859"/>
      <c r="I472" s="1859"/>
      <c r="J472" s="1859"/>
      <c r="M472" s="1859"/>
    </row>
    <row r="473" spans="2:13" s="1708" customFormat="1" x14ac:dyDescent="0.25">
      <c r="B473" s="1864"/>
      <c r="H473" s="1859"/>
      <c r="I473" s="1859"/>
      <c r="J473" s="1859"/>
      <c r="M473" s="1859"/>
    </row>
    <row r="474" spans="2:13" s="1708" customFormat="1" x14ac:dyDescent="0.25">
      <c r="B474" s="1864"/>
      <c r="H474" s="1859"/>
      <c r="I474" s="1859"/>
      <c r="J474" s="1859"/>
      <c r="M474" s="1859"/>
    </row>
    <row r="475" spans="2:13" s="1708" customFormat="1" x14ac:dyDescent="0.25">
      <c r="B475" s="1864"/>
      <c r="H475" s="1859"/>
      <c r="I475" s="1859"/>
      <c r="J475" s="1859"/>
      <c r="M475" s="1859"/>
    </row>
    <row r="476" spans="2:13" s="1708" customFormat="1" x14ac:dyDescent="0.25">
      <c r="B476" s="1864"/>
      <c r="H476" s="1859"/>
      <c r="I476" s="1859"/>
      <c r="J476" s="1859"/>
      <c r="M476" s="1859"/>
    </row>
    <row r="477" spans="2:13" s="1708" customFormat="1" x14ac:dyDescent="0.25">
      <c r="B477" s="1864"/>
      <c r="H477" s="1859"/>
      <c r="I477" s="1859"/>
      <c r="J477" s="1859"/>
      <c r="M477" s="1859"/>
    </row>
    <row r="478" spans="2:13" s="1708" customFormat="1" x14ac:dyDescent="0.25">
      <c r="B478" s="1864"/>
      <c r="H478" s="1859"/>
      <c r="I478" s="1859"/>
      <c r="J478" s="1859"/>
      <c r="M478" s="1859"/>
    </row>
    <row r="479" spans="2:13" s="1708" customFormat="1" x14ac:dyDescent="0.25">
      <c r="B479" s="1864"/>
      <c r="H479" s="1859"/>
      <c r="I479" s="1859"/>
      <c r="J479" s="1859"/>
      <c r="M479" s="1859"/>
    </row>
    <row r="480" spans="2:13" s="1708" customFormat="1" x14ac:dyDescent="0.25">
      <c r="B480" s="1864"/>
      <c r="H480" s="1859"/>
      <c r="I480" s="1859"/>
      <c r="J480" s="1859"/>
      <c r="M480" s="1859"/>
    </row>
    <row r="481" spans="2:13" s="1708" customFormat="1" x14ac:dyDescent="0.25">
      <c r="B481" s="1864"/>
      <c r="H481" s="1859"/>
      <c r="I481" s="1859"/>
      <c r="J481" s="1859"/>
      <c r="M481" s="1859"/>
    </row>
    <row r="482" spans="2:13" s="1708" customFormat="1" x14ac:dyDescent="0.25">
      <c r="B482" s="1864"/>
      <c r="H482" s="1859"/>
      <c r="I482" s="1859"/>
      <c r="J482" s="1859"/>
      <c r="M482" s="1859"/>
    </row>
    <row r="483" spans="2:13" s="1708" customFormat="1" x14ac:dyDescent="0.25">
      <c r="B483" s="1864"/>
      <c r="H483" s="1859"/>
      <c r="I483" s="1859"/>
      <c r="J483" s="1859"/>
      <c r="M483" s="1859"/>
    </row>
    <row r="484" spans="2:13" s="1708" customFormat="1" x14ac:dyDescent="0.25">
      <c r="B484" s="1864"/>
      <c r="H484" s="1859"/>
      <c r="I484" s="1859"/>
      <c r="J484" s="1859"/>
      <c r="M484" s="1859"/>
    </row>
    <row r="485" spans="2:13" s="1708" customFormat="1" x14ac:dyDescent="0.25">
      <c r="B485" s="1864"/>
      <c r="H485" s="1859"/>
      <c r="I485" s="1859"/>
      <c r="J485" s="1859"/>
      <c r="M485" s="1859"/>
    </row>
    <row r="486" spans="2:13" s="1708" customFormat="1" x14ac:dyDescent="0.25">
      <c r="B486" s="1864"/>
      <c r="H486" s="1859"/>
      <c r="I486" s="1859"/>
      <c r="J486" s="1859"/>
      <c r="M486" s="1859"/>
    </row>
    <row r="487" spans="2:13" s="1708" customFormat="1" x14ac:dyDescent="0.25">
      <c r="B487" s="1864"/>
      <c r="H487" s="1859"/>
      <c r="I487" s="1859"/>
      <c r="J487" s="1859"/>
      <c r="M487" s="1859"/>
    </row>
    <row r="488" spans="2:13" s="1708" customFormat="1" x14ac:dyDescent="0.25">
      <c r="B488" s="1864"/>
      <c r="H488" s="1859"/>
      <c r="I488" s="1859"/>
      <c r="J488" s="1859"/>
      <c r="M488" s="1859"/>
    </row>
    <row r="489" spans="2:13" s="1708" customFormat="1" x14ac:dyDescent="0.25">
      <c r="B489" s="1864"/>
      <c r="H489" s="1859"/>
      <c r="I489" s="1859"/>
      <c r="J489" s="1859"/>
      <c r="M489" s="1859"/>
    </row>
    <row r="490" spans="2:13" s="1708" customFormat="1" x14ac:dyDescent="0.25">
      <c r="B490" s="1864"/>
      <c r="H490" s="1859"/>
      <c r="I490" s="1859"/>
      <c r="J490" s="1859"/>
      <c r="M490" s="1859"/>
    </row>
    <row r="491" spans="2:13" s="1708" customFormat="1" x14ac:dyDescent="0.25">
      <c r="B491" s="1864"/>
      <c r="H491" s="1859"/>
      <c r="I491" s="1859"/>
      <c r="J491" s="1859"/>
      <c r="M491" s="1859"/>
    </row>
    <row r="492" spans="2:13" s="1708" customFormat="1" x14ac:dyDescent="0.25">
      <c r="B492" s="1864"/>
      <c r="H492" s="1859"/>
      <c r="I492" s="1859"/>
      <c r="J492" s="1859"/>
      <c r="M492" s="1859"/>
    </row>
    <row r="493" spans="2:13" s="1708" customFormat="1" x14ac:dyDescent="0.25">
      <c r="B493" s="1864"/>
      <c r="H493" s="1859"/>
      <c r="I493" s="1859"/>
      <c r="J493" s="1859"/>
      <c r="M493" s="1859"/>
    </row>
    <row r="494" spans="2:13" s="1708" customFormat="1" x14ac:dyDescent="0.25">
      <c r="B494" s="1864"/>
      <c r="H494" s="1859"/>
      <c r="I494" s="1859"/>
      <c r="J494" s="1859"/>
      <c r="M494" s="1859"/>
    </row>
    <row r="495" spans="2:13" s="1708" customFormat="1" x14ac:dyDescent="0.25">
      <c r="B495" s="1864"/>
      <c r="H495" s="1859"/>
      <c r="I495" s="1859"/>
      <c r="J495" s="1859"/>
      <c r="M495" s="1859"/>
    </row>
    <row r="496" spans="2:13" s="1708" customFormat="1" x14ac:dyDescent="0.25">
      <c r="B496" s="1864"/>
      <c r="H496" s="1859"/>
      <c r="I496" s="1859"/>
      <c r="J496" s="1859"/>
      <c r="M496" s="1859"/>
    </row>
    <row r="497" spans="2:13" s="1708" customFormat="1" x14ac:dyDescent="0.25">
      <c r="B497" s="1864"/>
      <c r="H497" s="1859"/>
      <c r="I497" s="1859"/>
      <c r="J497" s="1859"/>
      <c r="M497" s="1859"/>
    </row>
    <row r="498" spans="2:13" s="1708" customFormat="1" x14ac:dyDescent="0.25">
      <c r="B498" s="1864"/>
      <c r="H498" s="1859"/>
      <c r="I498" s="1859"/>
      <c r="J498" s="1859"/>
      <c r="M498" s="1859"/>
    </row>
    <row r="499" spans="2:13" s="1708" customFormat="1" x14ac:dyDescent="0.25">
      <c r="B499" s="1864"/>
      <c r="H499" s="1859"/>
      <c r="I499" s="1859"/>
      <c r="J499" s="1859"/>
      <c r="M499" s="1859"/>
    </row>
    <row r="500" spans="2:13" s="1708" customFormat="1" x14ac:dyDescent="0.25">
      <c r="B500" s="1864"/>
      <c r="H500" s="1859"/>
      <c r="I500" s="1859"/>
      <c r="J500" s="1859"/>
      <c r="M500" s="1859"/>
    </row>
    <row r="501" spans="2:13" s="1708" customFormat="1" x14ac:dyDescent="0.25">
      <c r="B501" s="1864"/>
      <c r="H501" s="1859"/>
      <c r="I501" s="1859"/>
      <c r="J501" s="1859"/>
      <c r="M501" s="1859"/>
    </row>
    <row r="502" spans="2:13" s="1708" customFormat="1" x14ac:dyDescent="0.25">
      <c r="B502" s="1864"/>
      <c r="H502" s="1859"/>
      <c r="I502" s="1859"/>
      <c r="J502" s="1859"/>
      <c r="M502" s="1859"/>
    </row>
    <row r="503" spans="2:13" s="1708" customFormat="1" x14ac:dyDescent="0.25">
      <c r="B503" s="1864"/>
      <c r="H503" s="1859"/>
      <c r="I503" s="1859"/>
      <c r="J503" s="1859"/>
      <c r="M503" s="1859"/>
    </row>
    <row r="504" spans="2:13" s="1708" customFormat="1" x14ac:dyDescent="0.25">
      <c r="B504" s="1864"/>
      <c r="H504" s="1859"/>
      <c r="I504" s="1859"/>
      <c r="J504" s="1859"/>
      <c r="M504" s="1859"/>
    </row>
    <row r="505" spans="2:13" s="1708" customFormat="1" x14ac:dyDescent="0.25">
      <c r="B505" s="1864"/>
      <c r="H505" s="1859"/>
      <c r="I505" s="1859"/>
      <c r="J505" s="1859"/>
      <c r="M505" s="1859"/>
    </row>
    <row r="506" spans="2:13" s="1708" customFormat="1" x14ac:dyDescent="0.25">
      <c r="B506" s="1864"/>
      <c r="H506" s="1859"/>
      <c r="I506" s="1859"/>
      <c r="J506" s="1859"/>
      <c r="M506" s="1859"/>
    </row>
    <row r="507" spans="2:13" s="1708" customFormat="1" x14ac:dyDescent="0.25">
      <c r="B507" s="1864"/>
      <c r="H507" s="1859"/>
      <c r="I507" s="1859"/>
      <c r="J507" s="1859"/>
      <c r="M507" s="1859"/>
    </row>
    <row r="508" spans="2:13" s="1708" customFormat="1" x14ac:dyDescent="0.25">
      <c r="B508" s="1864"/>
      <c r="H508" s="1859"/>
      <c r="I508" s="1859"/>
      <c r="J508" s="1859"/>
      <c r="M508" s="1859"/>
    </row>
    <row r="509" spans="2:13" s="1708" customFormat="1" x14ac:dyDescent="0.25">
      <c r="B509" s="1864"/>
      <c r="H509" s="1859"/>
      <c r="I509" s="1859"/>
      <c r="J509" s="1859"/>
      <c r="M509" s="1859"/>
    </row>
    <row r="510" spans="2:13" s="1708" customFormat="1" x14ac:dyDescent="0.25">
      <c r="B510" s="1864"/>
      <c r="H510" s="1859"/>
      <c r="I510" s="1859"/>
      <c r="J510" s="1859"/>
      <c r="M510" s="1859"/>
    </row>
    <row r="511" spans="2:13" s="1708" customFormat="1" x14ac:dyDescent="0.25">
      <c r="B511" s="1864"/>
      <c r="H511" s="1859"/>
      <c r="I511" s="1859"/>
      <c r="J511" s="1859"/>
      <c r="M511" s="1859"/>
    </row>
    <row r="512" spans="2:13" s="1708" customFormat="1" x14ac:dyDescent="0.25">
      <c r="B512" s="1864"/>
      <c r="H512" s="1859"/>
      <c r="I512" s="1859"/>
      <c r="J512" s="1859"/>
      <c r="M512" s="1859"/>
    </row>
    <row r="513" spans="2:13" s="1708" customFormat="1" x14ac:dyDescent="0.25">
      <c r="B513" s="1864"/>
      <c r="H513" s="1859"/>
      <c r="I513" s="1859"/>
      <c r="J513" s="1859"/>
      <c r="M513" s="1859"/>
    </row>
    <row r="514" spans="2:13" s="1708" customFormat="1" x14ac:dyDescent="0.25">
      <c r="B514" s="1864"/>
      <c r="H514" s="1859"/>
      <c r="I514" s="1859"/>
      <c r="J514" s="1859"/>
      <c r="M514" s="1859"/>
    </row>
    <row r="515" spans="2:13" s="1708" customFormat="1" x14ac:dyDescent="0.25">
      <c r="B515" s="1864"/>
      <c r="H515" s="1859"/>
      <c r="I515" s="1859"/>
      <c r="J515" s="1859"/>
      <c r="M515" s="1859"/>
    </row>
    <row r="516" spans="2:13" s="1708" customFormat="1" x14ac:dyDescent="0.25">
      <c r="B516" s="1864"/>
      <c r="H516" s="1859"/>
      <c r="I516" s="1859"/>
      <c r="J516" s="1859"/>
      <c r="M516" s="1859"/>
    </row>
    <row r="517" spans="2:13" s="1708" customFormat="1" x14ac:dyDescent="0.25">
      <c r="B517" s="1864"/>
      <c r="H517" s="1859"/>
      <c r="I517" s="1859"/>
      <c r="J517" s="1859"/>
      <c r="M517" s="1859"/>
    </row>
    <row r="518" spans="2:13" s="1708" customFormat="1" x14ac:dyDescent="0.25">
      <c r="B518" s="1864"/>
      <c r="H518" s="1859"/>
      <c r="I518" s="1859"/>
      <c r="J518" s="1859"/>
      <c r="M518" s="1859"/>
    </row>
    <row r="519" spans="2:13" s="1708" customFormat="1" x14ac:dyDescent="0.25">
      <c r="B519" s="1864"/>
      <c r="H519" s="1859"/>
      <c r="I519" s="1859"/>
      <c r="J519" s="1859"/>
      <c r="M519" s="1859"/>
    </row>
    <row r="520" spans="2:13" s="1708" customFormat="1" x14ac:dyDescent="0.25">
      <c r="B520" s="1864"/>
      <c r="H520" s="1859"/>
      <c r="I520" s="1859"/>
      <c r="J520" s="1859"/>
      <c r="M520" s="1859"/>
    </row>
    <row r="521" spans="2:13" s="1708" customFormat="1" x14ac:dyDescent="0.25">
      <c r="B521" s="1864"/>
      <c r="H521" s="1859"/>
      <c r="I521" s="1859"/>
      <c r="J521" s="1859"/>
      <c r="M521" s="1859"/>
    </row>
    <row r="522" spans="2:13" s="1708" customFormat="1" x14ac:dyDescent="0.25">
      <c r="B522" s="1864"/>
      <c r="H522" s="1859"/>
      <c r="I522" s="1859"/>
      <c r="J522" s="1859"/>
      <c r="M522" s="1859"/>
    </row>
    <row r="523" spans="2:13" s="1708" customFormat="1" x14ac:dyDescent="0.25">
      <c r="B523" s="1864"/>
      <c r="H523" s="1859"/>
      <c r="I523" s="1859"/>
      <c r="J523" s="1859"/>
      <c r="M523" s="1859"/>
    </row>
    <row r="524" spans="2:13" s="1708" customFormat="1" x14ac:dyDescent="0.25">
      <c r="B524" s="1864"/>
      <c r="H524" s="1859"/>
      <c r="I524" s="1859"/>
      <c r="J524" s="1859"/>
      <c r="M524" s="1859"/>
    </row>
    <row r="525" spans="2:13" s="1708" customFormat="1" x14ac:dyDescent="0.25">
      <c r="B525" s="1864"/>
      <c r="H525" s="1859"/>
      <c r="I525" s="1859"/>
      <c r="J525" s="1859"/>
      <c r="M525" s="1859"/>
    </row>
    <row r="526" spans="2:13" s="1708" customFormat="1" x14ac:dyDescent="0.25">
      <c r="B526" s="1864"/>
      <c r="H526" s="1859"/>
      <c r="I526" s="1859"/>
      <c r="J526" s="1859"/>
      <c r="M526" s="1859"/>
    </row>
    <row r="527" spans="2:13" s="1708" customFormat="1" x14ac:dyDescent="0.25">
      <c r="B527" s="1864"/>
      <c r="H527" s="1859"/>
      <c r="I527" s="1859"/>
      <c r="J527" s="1859"/>
      <c r="M527" s="1859"/>
    </row>
    <row r="528" spans="2:13" s="1708" customFormat="1" x14ac:dyDescent="0.25">
      <c r="B528" s="1864"/>
      <c r="H528" s="1859"/>
      <c r="I528" s="1859"/>
      <c r="J528" s="1859"/>
      <c r="M528" s="1859"/>
    </row>
    <row r="529" spans="2:13" s="1708" customFormat="1" x14ac:dyDescent="0.25">
      <c r="B529" s="1864"/>
      <c r="H529" s="1859"/>
      <c r="I529" s="1859"/>
      <c r="J529" s="1859"/>
      <c r="M529" s="1859"/>
    </row>
    <row r="530" spans="2:13" s="1708" customFormat="1" x14ac:dyDescent="0.25">
      <c r="B530" s="1864"/>
      <c r="H530" s="1859"/>
      <c r="I530" s="1859"/>
      <c r="J530" s="1859"/>
      <c r="M530" s="1859"/>
    </row>
    <row r="531" spans="2:13" s="1708" customFormat="1" x14ac:dyDescent="0.25">
      <c r="B531" s="1864"/>
      <c r="H531" s="1859"/>
      <c r="I531" s="1859"/>
      <c r="J531" s="1859"/>
      <c r="M531" s="1859"/>
    </row>
    <row r="532" spans="2:13" s="1708" customFormat="1" x14ac:dyDescent="0.25">
      <c r="B532" s="1864"/>
      <c r="H532" s="1859"/>
      <c r="I532" s="1859"/>
      <c r="J532" s="1859"/>
      <c r="M532" s="1859"/>
    </row>
    <row r="533" spans="2:13" s="1708" customFormat="1" x14ac:dyDescent="0.25">
      <c r="B533" s="1864"/>
      <c r="H533" s="1859"/>
      <c r="I533" s="1859"/>
      <c r="J533" s="1859"/>
      <c r="M533" s="1859"/>
    </row>
    <row r="534" spans="2:13" s="1708" customFormat="1" x14ac:dyDescent="0.25">
      <c r="B534" s="1864"/>
      <c r="H534" s="1859"/>
      <c r="I534" s="1859"/>
      <c r="J534" s="1859"/>
      <c r="M534" s="1859"/>
    </row>
    <row r="535" spans="2:13" s="1708" customFormat="1" x14ac:dyDescent="0.25">
      <c r="B535" s="1864"/>
      <c r="H535" s="1859"/>
      <c r="I535" s="1859"/>
      <c r="J535" s="1859"/>
      <c r="M535" s="1859"/>
    </row>
    <row r="536" spans="2:13" s="1708" customFormat="1" x14ac:dyDescent="0.25">
      <c r="B536" s="1864"/>
      <c r="H536" s="1859"/>
      <c r="I536" s="1859"/>
      <c r="J536" s="1859"/>
      <c r="M536" s="1859"/>
    </row>
    <row r="537" spans="2:13" s="1708" customFormat="1" x14ac:dyDescent="0.25">
      <c r="B537" s="1864"/>
      <c r="H537" s="1859"/>
      <c r="I537" s="1859"/>
      <c r="J537" s="1859"/>
      <c r="M537" s="1859"/>
    </row>
    <row r="538" spans="2:13" s="1708" customFormat="1" x14ac:dyDescent="0.25">
      <c r="B538" s="1864"/>
      <c r="H538" s="1859"/>
      <c r="I538" s="1859"/>
      <c r="J538" s="1859"/>
      <c r="M538" s="1859"/>
    </row>
    <row r="539" spans="2:13" s="1708" customFormat="1" x14ac:dyDescent="0.25">
      <c r="B539" s="1864"/>
      <c r="H539" s="1859"/>
      <c r="I539" s="1859"/>
      <c r="J539" s="1859"/>
      <c r="M539" s="1859"/>
    </row>
    <row r="540" spans="2:13" s="1708" customFormat="1" x14ac:dyDescent="0.25">
      <c r="B540" s="1864"/>
      <c r="H540" s="1859"/>
      <c r="I540" s="1859"/>
      <c r="J540" s="1859"/>
      <c r="M540" s="1859"/>
    </row>
    <row r="541" spans="2:13" s="1708" customFormat="1" x14ac:dyDescent="0.25">
      <c r="B541" s="1864"/>
      <c r="H541" s="1859"/>
      <c r="I541" s="1859"/>
      <c r="J541" s="1859"/>
      <c r="M541" s="1859"/>
    </row>
    <row r="542" spans="2:13" s="1708" customFormat="1" x14ac:dyDescent="0.25">
      <c r="B542" s="1864"/>
      <c r="H542" s="1859"/>
      <c r="I542" s="1859"/>
      <c r="J542" s="1859"/>
      <c r="M542" s="1859"/>
    </row>
    <row r="543" spans="2:13" s="1708" customFormat="1" x14ac:dyDescent="0.25">
      <c r="B543" s="1864"/>
      <c r="H543" s="1859"/>
      <c r="I543" s="1859"/>
      <c r="J543" s="1859"/>
      <c r="M543" s="1859"/>
    </row>
    <row r="544" spans="2:13" s="1708" customFormat="1" x14ac:dyDescent="0.25">
      <c r="B544" s="1864"/>
      <c r="H544" s="1859"/>
      <c r="I544" s="1859"/>
      <c r="J544" s="1859"/>
      <c r="M544" s="1859"/>
    </row>
    <row r="545" spans="2:13" s="1708" customFormat="1" x14ac:dyDescent="0.25">
      <c r="B545" s="1864"/>
      <c r="H545" s="1859"/>
      <c r="I545" s="1859"/>
      <c r="J545" s="1859"/>
      <c r="M545" s="1859"/>
    </row>
    <row r="546" spans="2:13" s="1708" customFormat="1" x14ac:dyDescent="0.25">
      <c r="B546" s="1864"/>
      <c r="H546" s="1859"/>
      <c r="I546" s="1859"/>
      <c r="J546" s="1859"/>
      <c r="M546" s="1859"/>
    </row>
    <row r="547" spans="2:13" s="1708" customFormat="1" x14ac:dyDescent="0.25">
      <c r="B547" s="1864"/>
      <c r="H547" s="1859"/>
      <c r="I547" s="1859"/>
      <c r="J547" s="1859"/>
      <c r="M547" s="1859"/>
    </row>
    <row r="548" spans="2:13" s="1708" customFormat="1" x14ac:dyDescent="0.25">
      <c r="B548" s="1864"/>
      <c r="H548" s="1859"/>
      <c r="I548" s="1859"/>
      <c r="J548" s="1859"/>
      <c r="M548" s="1859"/>
    </row>
    <row r="549" spans="2:13" s="1708" customFormat="1" x14ac:dyDescent="0.25">
      <c r="B549" s="1864"/>
      <c r="H549" s="1859"/>
      <c r="I549" s="1859"/>
      <c r="J549" s="1859"/>
      <c r="M549" s="1859"/>
    </row>
    <row r="550" spans="2:13" s="1708" customFormat="1" x14ac:dyDescent="0.25">
      <c r="B550" s="1864"/>
      <c r="H550" s="1859"/>
      <c r="I550" s="1859"/>
      <c r="J550" s="1859"/>
      <c r="M550" s="1859"/>
    </row>
    <row r="551" spans="2:13" s="1708" customFormat="1" x14ac:dyDescent="0.25">
      <c r="B551" s="1864"/>
      <c r="H551" s="1859"/>
      <c r="I551" s="1859"/>
      <c r="J551" s="1859"/>
      <c r="M551" s="1859"/>
    </row>
    <row r="552" spans="2:13" s="1708" customFormat="1" x14ac:dyDescent="0.25">
      <c r="B552" s="1864"/>
      <c r="H552" s="1859"/>
      <c r="I552" s="1859"/>
      <c r="J552" s="1859"/>
      <c r="M552" s="1859"/>
    </row>
    <row r="553" spans="2:13" s="1708" customFormat="1" x14ac:dyDescent="0.25">
      <c r="B553" s="1864"/>
      <c r="H553" s="1859"/>
      <c r="I553" s="1859"/>
      <c r="J553" s="1859"/>
      <c r="M553" s="1859"/>
    </row>
    <row r="554" spans="2:13" s="1708" customFormat="1" x14ac:dyDescent="0.25">
      <c r="B554" s="1864"/>
      <c r="H554" s="1859"/>
      <c r="I554" s="1859"/>
      <c r="J554" s="1859"/>
      <c r="M554" s="1859"/>
    </row>
    <row r="555" spans="2:13" s="1708" customFormat="1" x14ac:dyDescent="0.25">
      <c r="B555" s="1864"/>
      <c r="H555" s="1859"/>
      <c r="I555" s="1859"/>
      <c r="J555" s="1859"/>
      <c r="M555" s="1859"/>
    </row>
    <row r="556" spans="2:13" s="1708" customFormat="1" x14ac:dyDescent="0.25">
      <c r="B556" s="1864"/>
      <c r="H556" s="1859"/>
      <c r="I556" s="1859"/>
      <c r="J556" s="1859"/>
      <c r="M556" s="1859"/>
    </row>
    <row r="557" spans="2:13" s="1708" customFormat="1" x14ac:dyDescent="0.25">
      <c r="B557" s="1864"/>
      <c r="H557" s="1859"/>
      <c r="I557" s="1859"/>
      <c r="J557" s="1859"/>
      <c r="M557" s="1859"/>
    </row>
    <row r="558" spans="2:13" s="1708" customFormat="1" x14ac:dyDescent="0.25">
      <c r="B558" s="1864"/>
      <c r="H558" s="1859"/>
      <c r="I558" s="1859"/>
      <c r="J558" s="1859"/>
      <c r="M558" s="1859"/>
    </row>
    <row r="559" spans="2:13" s="1708" customFormat="1" x14ac:dyDescent="0.25">
      <c r="B559" s="1864"/>
      <c r="H559" s="1859"/>
      <c r="I559" s="1859"/>
      <c r="J559" s="1859"/>
      <c r="M559" s="1859"/>
    </row>
    <row r="560" spans="2:13" s="1708" customFormat="1" x14ac:dyDescent="0.25">
      <c r="B560" s="1864"/>
      <c r="H560" s="1859"/>
      <c r="I560" s="1859"/>
      <c r="J560" s="1859"/>
      <c r="M560" s="1859"/>
    </row>
    <row r="561" spans="2:13" s="1708" customFormat="1" x14ac:dyDescent="0.25">
      <c r="B561" s="1864"/>
      <c r="H561" s="1859"/>
      <c r="I561" s="1859"/>
      <c r="J561" s="1859"/>
      <c r="M561" s="1859"/>
    </row>
    <row r="562" spans="2:13" s="1708" customFormat="1" x14ac:dyDescent="0.25">
      <c r="B562" s="1864"/>
      <c r="H562" s="1859"/>
      <c r="I562" s="1859"/>
      <c r="J562" s="1859"/>
      <c r="M562" s="1859"/>
    </row>
    <row r="563" spans="2:13" s="1708" customFormat="1" x14ac:dyDescent="0.25">
      <c r="B563" s="1864"/>
      <c r="H563" s="1859"/>
      <c r="I563" s="1859"/>
      <c r="J563" s="1859"/>
      <c r="M563" s="1859"/>
    </row>
    <row r="564" spans="2:13" s="1708" customFormat="1" x14ac:dyDescent="0.25">
      <c r="B564" s="1864"/>
      <c r="H564" s="1859"/>
      <c r="I564" s="1859"/>
      <c r="J564" s="1859"/>
      <c r="M564" s="1859"/>
    </row>
    <row r="565" spans="2:13" s="1708" customFormat="1" x14ac:dyDescent="0.25">
      <c r="B565" s="1864"/>
      <c r="H565" s="1859"/>
      <c r="I565" s="1859"/>
      <c r="J565" s="1859"/>
      <c r="M565" s="1859"/>
    </row>
    <row r="566" spans="2:13" s="1708" customFormat="1" x14ac:dyDescent="0.25">
      <c r="B566" s="1864"/>
      <c r="H566" s="1859"/>
      <c r="I566" s="1859"/>
      <c r="J566" s="1859"/>
      <c r="M566" s="1859"/>
    </row>
    <row r="567" spans="2:13" s="1708" customFormat="1" x14ac:dyDescent="0.25">
      <c r="B567" s="1864"/>
      <c r="H567" s="1859"/>
      <c r="I567" s="1859"/>
      <c r="J567" s="1859"/>
      <c r="M567" s="1859"/>
    </row>
    <row r="568" spans="2:13" s="1708" customFormat="1" x14ac:dyDescent="0.25">
      <c r="B568" s="1864"/>
      <c r="H568" s="1859"/>
      <c r="I568" s="1859"/>
      <c r="J568" s="1859"/>
      <c r="M568" s="1859"/>
    </row>
    <row r="569" spans="2:13" s="1708" customFormat="1" x14ac:dyDescent="0.25">
      <c r="B569" s="1864"/>
      <c r="H569" s="1859"/>
      <c r="I569" s="1859"/>
      <c r="J569" s="1859"/>
      <c r="M569" s="1859"/>
    </row>
    <row r="570" spans="2:13" s="1708" customFormat="1" x14ac:dyDescent="0.25">
      <c r="B570" s="1864"/>
      <c r="H570" s="1859"/>
      <c r="I570" s="1859"/>
      <c r="J570" s="1859"/>
      <c r="M570" s="1859"/>
    </row>
    <row r="571" spans="2:13" s="1708" customFormat="1" x14ac:dyDescent="0.25">
      <c r="B571" s="1864"/>
      <c r="H571" s="1859"/>
      <c r="I571" s="1859"/>
      <c r="J571" s="1859"/>
      <c r="M571" s="1859"/>
    </row>
    <row r="572" spans="2:13" s="1708" customFormat="1" x14ac:dyDescent="0.25">
      <c r="B572" s="1864"/>
      <c r="H572" s="1859"/>
      <c r="I572" s="1859"/>
      <c r="J572" s="1859"/>
      <c r="M572" s="1859"/>
    </row>
    <row r="573" spans="2:13" s="1708" customFormat="1" x14ac:dyDescent="0.25">
      <c r="B573" s="1864"/>
      <c r="H573" s="1859"/>
      <c r="I573" s="1859"/>
      <c r="J573" s="1859"/>
      <c r="M573" s="1859"/>
    </row>
    <row r="574" spans="2:13" s="1708" customFormat="1" x14ac:dyDescent="0.25">
      <c r="B574" s="1864"/>
      <c r="H574" s="1859"/>
      <c r="I574" s="1859"/>
      <c r="J574" s="1859"/>
      <c r="M574" s="1859"/>
    </row>
    <row r="575" spans="2:13" s="1708" customFormat="1" x14ac:dyDescent="0.25">
      <c r="B575" s="1864"/>
      <c r="H575" s="1859"/>
      <c r="I575" s="1859"/>
      <c r="J575" s="1859"/>
      <c r="M575" s="1859"/>
    </row>
    <row r="576" spans="2:13" s="1708" customFormat="1" x14ac:dyDescent="0.25">
      <c r="B576" s="1864"/>
      <c r="H576" s="1859"/>
      <c r="I576" s="1859"/>
      <c r="J576" s="1859"/>
      <c r="M576" s="1859"/>
    </row>
    <row r="577" spans="2:13" s="1708" customFormat="1" x14ac:dyDescent="0.25">
      <c r="B577" s="1864"/>
      <c r="H577" s="1859"/>
      <c r="I577" s="1859"/>
      <c r="J577" s="1859"/>
      <c r="M577" s="1859"/>
    </row>
    <row r="578" spans="2:13" s="1708" customFormat="1" x14ac:dyDescent="0.25">
      <c r="B578" s="1864"/>
      <c r="H578" s="1859"/>
      <c r="I578" s="1859"/>
      <c r="J578" s="1859"/>
      <c r="M578" s="1859"/>
    </row>
    <row r="579" spans="2:13" s="1708" customFormat="1" x14ac:dyDescent="0.25">
      <c r="B579" s="1864"/>
      <c r="H579" s="1859"/>
      <c r="I579" s="1859"/>
      <c r="J579" s="1859"/>
      <c r="M579" s="1859"/>
    </row>
    <row r="580" spans="2:13" s="1708" customFormat="1" x14ac:dyDescent="0.25">
      <c r="B580" s="1864"/>
      <c r="H580" s="1859"/>
      <c r="I580" s="1859"/>
      <c r="J580" s="1859"/>
      <c r="M580" s="1859"/>
    </row>
    <row r="581" spans="2:13" s="1708" customFormat="1" x14ac:dyDescent="0.25">
      <c r="B581" s="1864"/>
      <c r="H581" s="1859"/>
      <c r="I581" s="1859"/>
      <c r="J581" s="1859"/>
      <c r="M581" s="1859"/>
    </row>
    <row r="582" spans="2:13" s="1708" customFormat="1" x14ac:dyDescent="0.25">
      <c r="B582" s="1864"/>
      <c r="H582" s="1859"/>
      <c r="I582" s="1859"/>
      <c r="J582" s="1859"/>
      <c r="M582" s="1859"/>
    </row>
    <row r="583" spans="2:13" s="1708" customFormat="1" x14ac:dyDescent="0.25">
      <c r="B583" s="1864"/>
      <c r="H583" s="1859"/>
      <c r="I583" s="1859"/>
      <c r="J583" s="1859"/>
      <c r="M583" s="1859"/>
    </row>
    <row r="584" spans="2:13" s="1708" customFormat="1" x14ac:dyDescent="0.25">
      <c r="B584" s="1864"/>
      <c r="H584" s="1859"/>
      <c r="I584" s="1859"/>
      <c r="J584" s="1859"/>
      <c r="M584" s="1859"/>
    </row>
    <row r="585" spans="2:13" s="1708" customFormat="1" x14ac:dyDescent="0.25">
      <c r="B585" s="1864"/>
      <c r="H585" s="1859"/>
      <c r="I585" s="1859"/>
      <c r="J585" s="1859"/>
      <c r="M585" s="1859"/>
    </row>
    <row r="586" spans="2:13" s="1708" customFormat="1" x14ac:dyDescent="0.25">
      <c r="B586" s="1864"/>
      <c r="H586" s="1859"/>
      <c r="I586" s="1859"/>
      <c r="J586" s="1859"/>
      <c r="M586" s="1859"/>
    </row>
    <row r="587" spans="2:13" s="1708" customFormat="1" x14ac:dyDescent="0.25">
      <c r="B587" s="1864"/>
      <c r="H587" s="1859"/>
      <c r="I587" s="1859"/>
      <c r="J587" s="1859"/>
      <c r="M587" s="1859"/>
    </row>
    <row r="588" spans="2:13" s="1708" customFormat="1" x14ac:dyDescent="0.25">
      <c r="B588" s="1864"/>
      <c r="H588" s="1859"/>
      <c r="I588" s="1859"/>
      <c r="J588" s="1859"/>
      <c r="M588" s="1859"/>
    </row>
    <row r="589" spans="2:13" s="1708" customFormat="1" x14ac:dyDescent="0.25">
      <c r="B589" s="1864"/>
      <c r="H589" s="1859"/>
      <c r="I589" s="1859"/>
      <c r="J589" s="1859"/>
      <c r="M589" s="1859"/>
    </row>
    <row r="590" spans="2:13" s="1708" customFormat="1" x14ac:dyDescent="0.25">
      <c r="B590" s="1864"/>
      <c r="H590" s="1859"/>
      <c r="I590" s="1859"/>
      <c r="J590" s="1859"/>
      <c r="M590" s="1859"/>
    </row>
    <row r="591" spans="2:13" s="1708" customFormat="1" x14ac:dyDescent="0.25">
      <c r="B591" s="1864"/>
      <c r="H591" s="1859"/>
      <c r="I591" s="1859"/>
      <c r="J591" s="1859"/>
      <c r="M591" s="1859"/>
    </row>
    <row r="592" spans="2:13" s="1708" customFormat="1" x14ac:dyDescent="0.25">
      <c r="B592" s="1864"/>
      <c r="H592" s="1859"/>
      <c r="I592" s="1859"/>
      <c r="J592" s="1859"/>
      <c r="M592" s="1859"/>
    </row>
    <row r="593" spans="2:13" s="1708" customFormat="1" x14ac:dyDescent="0.25">
      <c r="B593" s="1864"/>
      <c r="H593" s="1859"/>
      <c r="I593" s="1859"/>
      <c r="J593" s="1859"/>
      <c r="M593" s="1859"/>
    </row>
    <row r="594" spans="2:13" s="1708" customFormat="1" x14ac:dyDescent="0.25">
      <c r="B594" s="1864"/>
      <c r="H594" s="1859"/>
      <c r="I594" s="1859"/>
      <c r="J594" s="1859"/>
      <c r="M594" s="1859"/>
    </row>
    <row r="595" spans="2:13" s="1708" customFormat="1" x14ac:dyDescent="0.25">
      <c r="B595" s="1864"/>
      <c r="H595" s="1859"/>
      <c r="I595" s="1859"/>
      <c r="J595" s="1859"/>
      <c r="M595" s="1859"/>
    </row>
    <row r="596" spans="2:13" s="1708" customFormat="1" x14ac:dyDescent="0.25">
      <c r="B596" s="1864"/>
      <c r="H596" s="1859"/>
      <c r="I596" s="1859"/>
      <c r="J596" s="1859"/>
      <c r="M596" s="1859"/>
    </row>
    <row r="597" spans="2:13" s="1708" customFormat="1" x14ac:dyDescent="0.25">
      <c r="B597" s="1864"/>
      <c r="H597" s="1859"/>
      <c r="I597" s="1859"/>
      <c r="J597" s="1859"/>
      <c r="M597" s="1859"/>
    </row>
    <row r="598" spans="2:13" s="1708" customFormat="1" x14ac:dyDescent="0.25">
      <c r="B598" s="1864"/>
      <c r="H598" s="1859"/>
      <c r="I598" s="1859"/>
      <c r="J598" s="1859"/>
      <c r="M598" s="1859"/>
    </row>
    <row r="599" spans="2:13" s="1708" customFormat="1" x14ac:dyDescent="0.25">
      <c r="B599" s="1864"/>
      <c r="H599" s="1859"/>
      <c r="I599" s="1859"/>
      <c r="J599" s="1859"/>
      <c r="M599" s="1859"/>
    </row>
    <row r="600" spans="2:13" s="1708" customFormat="1" x14ac:dyDescent="0.25">
      <c r="B600" s="1864"/>
      <c r="H600" s="1859"/>
      <c r="I600" s="1859"/>
      <c r="J600" s="1859"/>
      <c r="M600" s="1859"/>
    </row>
    <row r="601" spans="2:13" s="1708" customFormat="1" x14ac:dyDescent="0.25">
      <c r="B601" s="1864"/>
      <c r="H601" s="1859"/>
      <c r="I601" s="1859"/>
      <c r="J601" s="1859"/>
      <c r="M601" s="1859"/>
    </row>
    <row r="602" spans="2:13" s="1708" customFormat="1" x14ac:dyDescent="0.25">
      <c r="B602" s="1864"/>
      <c r="H602" s="1859"/>
      <c r="I602" s="1859"/>
      <c r="J602" s="1859"/>
      <c r="M602" s="1859"/>
    </row>
    <row r="603" spans="2:13" s="1708" customFormat="1" x14ac:dyDescent="0.25">
      <c r="B603" s="1864"/>
      <c r="H603" s="1859"/>
      <c r="I603" s="1859"/>
      <c r="J603" s="1859"/>
      <c r="M603" s="1859"/>
    </row>
    <row r="604" spans="2:13" s="1708" customFormat="1" x14ac:dyDescent="0.25">
      <c r="B604" s="1864"/>
      <c r="H604" s="1859"/>
      <c r="I604" s="1859"/>
      <c r="J604" s="1859"/>
      <c r="M604" s="1859"/>
    </row>
    <row r="605" spans="2:13" s="1708" customFormat="1" x14ac:dyDescent="0.25">
      <c r="B605" s="1864"/>
      <c r="H605" s="1859"/>
      <c r="I605" s="1859"/>
      <c r="J605" s="1859"/>
      <c r="M605" s="1859"/>
    </row>
    <row r="606" spans="2:13" s="1708" customFormat="1" x14ac:dyDescent="0.25">
      <c r="B606" s="1864"/>
      <c r="H606" s="1859"/>
      <c r="I606" s="1859"/>
      <c r="J606" s="1859"/>
      <c r="M606" s="1859"/>
    </row>
    <row r="607" spans="2:13" s="1708" customFormat="1" x14ac:dyDescent="0.25">
      <c r="B607" s="1864"/>
      <c r="H607" s="1859"/>
      <c r="I607" s="1859"/>
      <c r="J607" s="1859"/>
      <c r="M607" s="1859"/>
    </row>
    <row r="608" spans="2:13" s="1708" customFormat="1" x14ac:dyDescent="0.25">
      <c r="B608" s="1864"/>
      <c r="H608" s="1859"/>
      <c r="I608" s="1859"/>
      <c r="J608" s="1859"/>
      <c r="M608" s="1859"/>
    </row>
    <row r="609" spans="2:13" s="1708" customFormat="1" x14ac:dyDescent="0.25">
      <c r="B609" s="1864"/>
      <c r="H609" s="1859"/>
      <c r="I609" s="1859"/>
      <c r="J609" s="1859"/>
      <c r="M609" s="1859"/>
    </row>
    <row r="610" spans="2:13" s="1708" customFormat="1" x14ac:dyDescent="0.25">
      <c r="B610" s="1864"/>
      <c r="H610" s="1859"/>
      <c r="I610" s="1859"/>
      <c r="J610" s="1859"/>
      <c r="M610" s="1859"/>
    </row>
    <row r="611" spans="2:13" s="1708" customFormat="1" x14ac:dyDescent="0.25">
      <c r="B611" s="1864"/>
      <c r="H611" s="1859"/>
      <c r="I611" s="1859"/>
      <c r="J611" s="1859"/>
      <c r="M611" s="1859"/>
    </row>
    <row r="612" spans="2:13" s="1708" customFormat="1" x14ac:dyDescent="0.25">
      <c r="B612" s="1864"/>
      <c r="H612" s="1859"/>
      <c r="I612" s="1859"/>
      <c r="J612" s="1859"/>
      <c r="M612" s="1859"/>
    </row>
    <row r="613" spans="2:13" s="1708" customFormat="1" x14ac:dyDescent="0.25">
      <c r="B613" s="1864"/>
      <c r="H613" s="1859"/>
      <c r="I613" s="1859"/>
      <c r="J613" s="1859"/>
      <c r="M613" s="1859"/>
    </row>
    <row r="614" spans="2:13" s="1708" customFormat="1" x14ac:dyDescent="0.25">
      <c r="B614" s="1864"/>
      <c r="H614" s="1859"/>
      <c r="I614" s="1859"/>
      <c r="J614" s="1859"/>
      <c r="M614" s="1859"/>
    </row>
    <row r="615" spans="2:13" s="1708" customFormat="1" x14ac:dyDescent="0.25">
      <c r="B615" s="1864"/>
      <c r="H615" s="1859"/>
      <c r="I615" s="1859"/>
      <c r="J615" s="1859"/>
      <c r="M615" s="1859"/>
    </row>
    <row r="616" spans="2:13" s="1708" customFormat="1" x14ac:dyDescent="0.25">
      <c r="B616" s="1864"/>
      <c r="H616" s="1859"/>
      <c r="I616" s="1859"/>
      <c r="J616" s="1859"/>
      <c r="M616" s="1859"/>
    </row>
    <row r="617" spans="2:13" s="1708" customFormat="1" x14ac:dyDescent="0.25">
      <c r="B617" s="1864"/>
      <c r="H617" s="1859"/>
      <c r="I617" s="1859"/>
      <c r="J617" s="1859"/>
      <c r="M617" s="1859"/>
    </row>
    <row r="618" spans="2:13" s="1708" customFormat="1" x14ac:dyDescent="0.25">
      <c r="B618" s="1864"/>
      <c r="H618" s="1859"/>
      <c r="I618" s="1859"/>
      <c r="J618" s="1859"/>
      <c r="M618" s="1859"/>
    </row>
    <row r="619" spans="2:13" s="1708" customFormat="1" x14ac:dyDescent="0.25">
      <c r="B619" s="1864"/>
      <c r="H619" s="1859"/>
      <c r="I619" s="1859"/>
      <c r="J619" s="1859"/>
      <c r="M619" s="1859"/>
    </row>
    <row r="620" spans="2:13" s="1708" customFormat="1" x14ac:dyDescent="0.25">
      <c r="B620" s="1864"/>
      <c r="H620" s="1859"/>
      <c r="I620" s="1859"/>
      <c r="J620" s="1859"/>
      <c r="M620" s="1859"/>
    </row>
    <row r="621" spans="2:13" s="1708" customFormat="1" x14ac:dyDescent="0.25">
      <c r="B621" s="1864"/>
      <c r="H621" s="1859"/>
      <c r="I621" s="1859"/>
      <c r="J621" s="1859"/>
      <c r="M621" s="1859"/>
    </row>
    <row r="622" spans="2:13" s="1708" customFormat="1" x14ac:dyDescent="0.25">
      <c r="B622" s="1864"/>
      <c r="H622" s="1859"/>
      <c r="I622" s="1859"/>
      <c r="J622" s="1859"/>
      <c r="M622" s="1859"/>
    </row>
    <row r="623" spans="2:13" s="1708" customFormat="1" x14ac:dyDescent="0.25">
      <c r="B623" s="1864"/>
      <c r="H623" s="1859"/>
      <c r="I623" s="1859"/>
      <c r="J623" s="1859"/>
      <c r="M623" s="1859"/>
    </row>
    <row r="624" spans="2:13" s="1708" customFormat="1" x14ac:dyDescent="0.25">
      <c r="B624" s="1864"/>
      <c r="H624" s="1859"/>
      <c r="I624" s="1859"/>
      <c r="J624" s="1859"/>
      <c r="M624" s="1859"/>
    </row>
    <row r="625" spans="2:13" s="1708" customFormat="1" x14ac:dyDescent="0.25">
      <c r="B625" s="1864"/>
      <c r="H625" s="1859"/>
      <c r="I625" s="1859"/>
      <c r="J625" s="1859"/>
      <c r="M625" s="1859"/>
    </row>
    <row r="626" spans="2:13" s="1708" customFormat="1" x14ac:dyDescent="0.25">
      <c r="B626" s="1864"/>
      <c r="H626" s="1859"/>
      <c r="I626" s="1859"/>
      <c r="J626" s="1859"/>
      <c r="M626" s="1859"/>
    </row>
    <row r="627" spans="2:13" s="1708" customFormat="1" x14ac:dyDescent="0.25">
      <c r="B627" s="1864"/>
      <c r="H627" s="1859"/>
      <c r="I627" s="1859"/>
      <c r="J627" s="1859"/>
      <c r="M627" s="1859"/>
    </row>
    <row r="628" spans="2:13" s="1708" customFormat="1" x14ac:dyDescent="0.25">
      <c r="B628" s="1864"/>
      <c r="H628" s="1859"/>
      <c r="I628" s="1859"/>
      <c r="J628" s="1859"/>
      <c r="M628" s="1859"/>
    </row>
    <row r="629" spans="2:13" s="1708" customFormat="1" x14ac:dyDescent="0.25">
      <c r="B629" s="1864"/>
      <c r="H629" s="1859"/>
      <c r="I629" s="1859"/>
      <c r="J629" s="1859"/>
      <c r="M629" s="1859"/>
    </row>
    <row r="630" spans="2:13" s="1708" customFormat="1" x14ac:dyDescent="0.25">
      <c r="B630" s="1864"/>
      <c r="H630" s="1859"/>
      <c r="I630" s="1859"/>
      <c r="J630" s="1859"/>
      <c r="M630" s="1859"/>
    </row>
    <row r="631" spans="2:13" s="1708" customFormat="1" x14ac:dyDescent="0.25">
      <c r="B631" s="1864"/>
      <c r="H631" s="1859"/>
      <c r="I631" s="1859"/>
      <c r="J631" s="1859"/>
      <c r="M631" s="1859"/>
    </row>
    <row r="632" spans="2:13" s="1708" customFormat="1" x14ac:dyDescent="0.25">
      <c r="B632" s="1864"/>
      <c r="H632" s="1859"/>
      <c r="I632" s="1859"/>
      <c r="J632" s="1859"/>
      <c r="M632" s="1859"/>
    </row>
    <row r="633" spans="2:13" s="1708" customFormat="1" x14ac:dyDescent="0.25">
      <c r="B633" s="1864"/>
      <c r="H633" s="1859"/>
      <c r="I633" s="1859"/>
      <c r="J633" s="1859"/>
      <c r="M633" s="1859"/>
    </row>
    <row r="634" spans="2:13" s="1708" customFormat="1" x14ac:dyDescent="0.25">
      <c r="B634" s="1864"/>
      <c r="H634" s="1859"/>
      <c r="I634" s="1859"/>
      <c r="J634" s="1859"/>
      <c r="M634" s="1859"/>
    </row>
    <row r="635" spans="2:13" s="1708" customFormat="1" x14ac:dyDescent="0.25">
      <c r="B635" s="1864"/>
      <c r="H635" s="1859"/>
      <c r="I635" s="1859"/>
      <c r="J635" s="1859"/>
      <c r="M635" s="1859"/>
    </row>
    <row r="636" spans="2:13" s="1708" customFormat="1" x14ac:dyDescent="0.25">
      <c r="B636" s="1864"/>
      <c r="H636" s="1859"/>
      <c r="I636" s="1859"/>
      <c r="J636" s="1859"/>
      <c r="M636" s="1859"/>
    </row>
    <row r="637" spans="2:13" s="1708" customFormat="1" x14ac:dyDescent="0.25">
      <c r="B637" s="1864"/>
      <c r="H637" s="1859"/>
      <c r="I637" s="1859"/>
      <c r="J637" s="1859"/>
      <c r="M637" s="1859"/>
    </row>
    <row r="638" spans="2:13" s="1708" customFormat="1" x14ac:dyDescent="0.25">
      <c r="B638" s="1864"/>
      <c r="H638" s="1859"/>
      <c r="I638" s="1859"/>
      <c r="J638" s="1859"/>
      <c r="M638" s="1859"/>
    </row>
    <row r="639" spans="2:13" s="1708" customFormat="1" x14ac:dyDescent="0.25">
      <c r="B639" s="1864"/>
      <c r="H639" s="1859"/>
      <c r="I639" s="1859"/>
      <c r="J639" s="1859"/>
      <c r="M639" s="1859"/>
    </row>
    <row r="640" spans="2:13" s="1708" customFormat="1" x14ac:dyDescent="0.25">
      <c r="B640" s="1864"/>
      <c r="H640" s="1859"/>
      <c r="I640" s="1859"/>
      <c r="J640" s="1859"/>
      <c r="M640" s="1859"/>
    </row>
    <row r="641" spans="2:13" s="1708" customFormat="1" x14ac:dyDescent="0.25">
      <c r="B641" s="1864"/>
      <c r="H641" s="1859"/>
      <c r="I641" s="1859"/>
      <c r="J641" s="1859"/>
      <c r="M641" s="1859"/>
    </row>
    <row r="642" spans="2:13" s="1708" customFormat="1" x14ac:dyDescent="0.25">
      <c r="B642" s="1864"/>
      <c r="H642" s="1859"/>
      <c r="I642" s="1859"/>
      <c r="J642" s="1859"/>
      <c r="M642" s="1859"/>
    </row>
    <row r="643" spans="2:13" s="1708" customFormat="1" x14ac:dyDescent="0.25">
      <c r="B643" s="1864"/>
      <c r="H643" s="1859"/>
      <c r="I643" s="1859"/>
      <c r="J643" s="1859"/>
      <c r="M643" s="1859"/>
    </row>
    <row r="644" spans="2:13" s="1708" customFormat="1" x14ac:dyDescent="0.25">
      <c r="B644" s="1864"/>
      <c r="H644" s="1859"/>
      <c r="I644" s="1859"/>
      <c r="J644" s="1859"/>
      <c r="M644" s="1859"/>
    </row>
    <row r="645" spans="2:13" s="1708" customFormat="1" x14ac:dyDescent="0.25">
      <c r="B645" s="1864"/>
      <c r="H645" s="1859"/>
      <c r="I645" s="1859"/>
      <c r="J645" s="1859"/>
      <c r="M645" s="1859"/>
    </row>
    <row r="646" spans="2:13" s="1708" customFormat="1" x14ac:dyDescent="0.25">
      <c r="B646" s="1864"/>
      <c r="H646" s="1859"/>
      <c r="I646" s="1859"/>
      <c r="J646" s="1859"/>
      <c r="M646" s="1859"/>
    </row>
    <row r="647" spans="2:13" s="1708" customFormat="1" x14ac:dyDescent="0.25">
      <c r="B647" s="1864"/>
      <c r="H647" s="1859"/>
      <c r="I647" s="1859"/>
      <c r="J647" s="1859"/>
      <c r="M647" s="1859"/>
    </row>
    <row r="648" spans="2:13" s="1708" customFormat="1" x14ac:dyDescent="0.25">
      <c r="B648" s="1864"/>
      <c r="H648" s="1859"/>
      <c r="I648" s="1859"/>
      <c r="J648" s="1859"/>
      <c r="M648" s="1859"/>
    </row>
    <row r="649" spans="2:13" s="1708" customFormat="1" x14ac:dyDescent="0.25">
      <c r="B649" s="1864"/>
      <c r="H649" s="1859"/>
      <c r="I649" s="1859"/>
      <c r="J649" s="1859"/>
      <c r="M649" s="1859"/>
    </row>
    <row r="650" spans="2:13" s="1708" customFormat="1" x14ac:dyDescent="0.25">
      <c r="B650" s="1864"/>
      <c r="H650" s="1859"/>
      <c r="I650" s="1859"/>
      <c r="J650" s="1859"/>
      <c r="M650" s="1859"/>
    </row>
    <row r="651" spans="2:13" s="1708" customFormat="1" x14ac:dyDescent="0.25">
      <c r="B651" s="1864"/>
      <c r="H651" s="1859"/>
      <c r="I651" s="1859"/>
      <c r="J651" s="1859"/>
      <c r="M651" s="1859"/>
    </row>
    <row r="652" spans="2:13" s="1708" customFormat="1" x14ac:dyDescent="0.25">
      <c r="B652" s="1864"/>
      <c r="H652" s="1859"/>
      <c r="I652" s="1859"/>
      <c r="J652" s="1859"/>
      <c r="M652" s="1859"/>
    </row>
    <row r="653" spans="2:13" s="1708" customFormat="1" x14ac:dyDescent="0.25">
      <c r="B653" s="1864"/>
      <c r="H653" s="1859"/>
      <c r="I653" s="1859"/>
      <c r="J653" s="1859"/>
      <c r="M653" s="1859"/>
    </row>
    <row r="654" spans="2:13" s="1708" customFormat="1" x14ac:dyDescent="0.25">
      <c r="B654" s="1864"/>
      <c r="H654" s="1859"/>
      <c r="I654" s="1859"/>
      <c r="J654" s="1859"/>
      <c r="M654" s="1859"/>
    </row>
    <row r="655" spans="2:13" s="1708" customFormat="1" x14ac:dyDescent="0.25">
      <c r="B655" s="1864"/>
      <c r="H655" s="1859"/>
      <c r="I655" s="1859"/>
      <c r="J655" s="1859"/>
      <c r="M655" s="1859"/>
    </row>
    <row r="656" spans="2:13" s="1708" customFormat="1" x14ac:dyDescent="0.25">
      <c r="B656" s="1864"/>
      <c r="H656" s="1859"/>
      <c r="I656" s="1859"/>
      <c r="J656" s="1859"/>
      <c r="M656" s="1859"/>
    </row>
    <row r="657" spans="2:13" s="1708" customFormat="1" x14ac:dyDescent="0.25">
      <c r="B657" s="1864"/>
      <c r="H657" s="1859"/>
      <c r="I657" s="1859"/>
      <c r="J657" s="1859"/>
      <c r="M657" s="1859"/>
    </row>
  </sheetData>
  <sheetProtection password="E593" sheet="1" objects="1" scenarios="1"/>
  <customSheetViews>
    <customSheetView guid="{B63065A1-7838-417A-8679-08A8A2B79CD8}" scale="80" showPageBreaks="1" showGridLines="0" printArea="1">
      <selection activeCell="I3" sqref="I3"/>
      <rowBreaks count="1" manualBreakCount="1">
        <brk id="48" max="15" man="1"/>
      </rowBreaks>
      <pageMargins left="0.25" right="0.25" top="0.5" bottom="0.5" header="0" footer="0"/>
      <printOptions horizontalCentered="1"/>
      <pageSetup scale="57" fitToHeight="2" orientation="landscape" blackAndWhite="1" r:id="rId1"/>
      <headerFooter alignWithMargins="0"/>
    </customSheetView>
  </customSheetViews>
  <mergeCells count="20">
    <mergeCell ref="D56:L56"/>
    <mergeCell ref="D57:L57"/>
    <mergeCell ref="D58:L58"/>
    <mergeCell ref="I13:J13"/>
    <mergeCell ref="K13:L13"/>
    <mergeCell ref="D54:L54"/>
    <mergeCell ref="I12:L12"/>
    <mergeCell ref="E13:F13"/>
    <mergeCell ref="D2:L2"/>
    <mergeCell ref="D4:L4"/>
    <mergeCell ref="D5:L5"/>
    <mergeCell ref="D6:L6"/>
    <mergeCell ref="I7:L7"/>
    <mergeCell ref="E59:F60"/>
    <mergeCell ref="I59:L59"/>
    <mergeCell ref="B98:O99"/>
    <mergeCell ref="C100:N111"/>
    <mergeCell ref="I60:J60"/>
    <mergeCell ref="K60:L60"/>
    <mergeCell ref="K95:N97"/>
  </mergeCells>
  <conditionalFormatting sqref="E17:F19 E24:F30 E35:F40 E45:F49 E64:F71 E77:F88">
    <cfRule type="expression" dxfId="14" priority="1" stopIfTrue="1">
      <formula>$H$7="Estimated"</formula>
    </cfRule>
  </conditionalFormatting>
  <printOptions horizontalCentered="1"/>
  <pageMargins left="0.25" right="0.25" top="0.5" bottom="0.5" header="0" footer="0"/>
  <pageSetup scale="57" fitToHeight="2" orientation="landscape" blackAndWhite="1" r:id="rId2"/>
  <headerFooter alignWithMargins="0"/>
  <rowBreaks count="2" manualBreakCount="2">
    <brk id="48" max="15" man="1"/>
    <brk id="53" max="15" man="1"/>
  </rowBreaks>
  <drawing r:id="rId3"/>
  <legacyDrawing r:id="rId4"/>
  <mc:AlternateContent xmlns:mc="http://schemas.openxmlformats.org/markup-compatibility/2006">
    <mc:Choice Requires="x14">
      <controls>
        <mc:AlternateContent xmlns:mc="http://schemas.openxmlformats.org/markup-compatibility/2006">
          <mc:Choice Requires="x14">
            <control shapeId="16385" r:id="rId5" name="Button 1">
              <controlPr defaultSize="0" print="0" autoFill="0" autoPict="0" macro="[0]!BackMain">
                <anchor moveWithCells="1" sizeWithCells="1">
                  <from>
                    <xdr:col>0</xdr:col>
                    <xdr:colOff>563880</xdr:colOff>
                    <xdr:row>2</xdr:row>
                    <xdr:rowOff>38100</xdr:rowOff>
                  </from>
                  <to>
                    <xdr:col>2</xdr:col>
                    <xdr:colOff>213360</xdr:colOff>
                    <xdr:row>5</xdr:row>
                    <xdr:rowOff>22860</xdr:rowOff>
                  </to>
                </anchor>
              </controlPr>
            </control>
          </mc:Choice>
        </mc:AlternateContent>
        <mc:AlternateContent xmlns:mc="http://schemas.openxmlformats.org/markup-compatibility/2006">
          <mc:Choice Requires="x14">
            <control shapeId="16386" r:id="rId6" name="Button 2">
              <controlPr defaultSize="0" print="0" autoFill="0" autoPict="0" macro="[0]!BackMain">
                <anchor moveWithCells="1" sizeWithCells="1">
                  <from>
                    <xdr:col>0</xdr:col>
                    <xdr:colOff>579120</xdr:colOff>
                    <xdr:row>54</xdr:row>
                    <xdr:rowOff>137160</xdr:rowOff>
                  </from>
                  <to>
                    <xdr:col>2</xdr:col>
                    <xdr:colOff>281940</xdr:colOff>
                    <xdr:row>57</xdr:row>
                    <xdr:rowOff>60960</xdr:rowOff>
                  </to>
                </anchor>
              </controlPr>
            </control>
          </mc:Choice>
        </mc:AlternateContent>
        <mc:AlternateContent xmlns:mc="http://schemas.openxmlformats.org/markup-compatibility/2006">
          <mc:Choice Requires="x14">
            <control shapeId="16387" r:id="rId7" name="Button 3">
              <controlPr defaultSize="0" print="0" autoFill="0" autoPict="0" macro="[0]!BackMain">
                <anchor moveWithCells="1" sizeWithCells="1">
                  <from>
                    <xdr:col>13</xdr:col>
                    <xdr:colOff>670560</xdr:colOff>
                    <xdr:row>113</xdr:row>
                    <xdr:rowOff>152400</xdr:rowOff>
                  </from>
                  <to>
                    <xdr:col>15</xdr:col>
                    <xdr:colOff>7620</xdr:colOff>
                    <xdr:row>116</xdr:row>
                    <xdr:rowOff>68580</xdr:rowOff>
                  </to>
                </anchor>
              </controlPr>
            </control>
          </mc:Choice>
        </mc:AlternateContent>
        <mc:AlternateContent xmlns:mc="http://schemas.openxmlformats.org/markup-compatibility/2006">
          <mc:Choice Requires="x14">
            <control shapeId="16388" r:id="rId8" name="Button 4">
              <controlPr defaultSize="0" print="0" autoFill="0" autoPict="0" macro="[0]!PrintAttach11">
                <anchor moveWithCells="1" sizeWithCells="1">
                  <from>
                    <xdr:col>13</xdr:col>
                    <xdr:colOff>38100</xdr:colOff>
                    <xdr:row>3</xdr:row>
                    <xdr:rowOff>7620</xdr:rowOff>
                  </from>
                  <to>
                    <xdr:col>15</xdr:col>
                    <xdr:colOff>7620</xdr:colOff>
                    <xdr:row>5</xdr:row>
                    <xdr:rowOff>68580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fitToPage="1"/>
  </sheetPr>
  <dimension ref="A1:R119"/>
  <sheetViews>
    <sheetView showGridLines="0" topLeftCell="C1" zoomScaleNormal="100" zoomScaleSheetLayoutView="75" workbookViewId="0"/>
  </sheetViews>
  <sheetFormatPr defaultRowHeight="13.2" x14ac:dyDescent="0.25"/>
  <cols>
    <col min="1" max="1" width="8.88671875" style="28"/>
    <col min="2" max="2" width="8.6640625" style="52" customWidth="1"/>
    <col min="3" max="3" width="36.109375" style="28" customWidth="1"/>
    <col min="4" max="10" width="14.33203125" style="27" customWidth="1"/>
    <col min="11" max="13" width="14.33203125" style="28" customWidth="1"/>
    <col min="14" max="15" width="8.88671875" style="28"/>
    <col min="16" max="18" width="8.88671875" style="1708"/>
    <col min="19" max="16384" width="8.88671875" style="28"/>
  </cols>
  <sheetData>
    <row r="1" spans="1:15" x14ac:dyDescent="0.25">
      <c r="A1" s="78"/>
      <c r="B1" s="518" t="str">
        <f>TestYear &amp; " Test Year"</f>
        <v>2023 Test Year</v>
      </c>
      <c r="C1" s="475"/>
      <c r="D1" s="2564"/>
      <c r="E1" s="2564"/>
      <c r="F1" s="2564"/>
      <c r="G1" s="2564"/>
      <c r="H1" s="2564"/>
      <c r="I1" s="2583"/>
      <c r="J1" s="2583"/>
      <c r="K1" s="2583"/>
      <c r="L1" s="475"/>
      <c r="M1" s="470"/>
      <c r="N1" s="470" t="s">
        <v>549</v>
      </c>
      <c r="O1" s="78"/>
    </row>
    <row r="2" spans="1:15" x14ac:dyDescent="0.25">
      <c r="A2" s="78"/>
      <c r="B2" s="518"/>
      <c r="C2" s="475"/>
      <c r="D2" s="2564" t="str">
        <f>Utility</f>
        <v>Cleveland Water Utility</v>
      </c>
      <c r="E2" s="2564"/>
      <c r="F2" s="2564"/>
      <c r="G2" s="2564"/>
      <c r="H2" s="2564"/>
      <c r="I2" s="2583"/>
      <c r="J2" s="2583"/>
      <c r="K2" s="2583"/>
      <c r="L2" s="475"/>
      <c r="M2" s="470"/>
      <c r="N2" s="470" t="s">
        <v>440</v>
      </c>
      <c r="O2" s="78"/>
    </row>
    <row r="3" spans="1:15" x14ac:dyDescent="0.25">
      <c r="A3" s="78"/>
      <c r="B3" s="518"/>
      <c r="C3" s="475"/>
      <c r="D3" s="1694"/>
      <c r="E3" s="1694"/>
      <c r="F3" s="1694"/>
      <c r="G3" s="1694"/>
      <c r="H3" s="1694"/>
      <c r="I3" s="1699"/>
      <c r="J3" s="1699"/>
      <c r="K3" s="1699"/>
      <c r="L3" s="475"/>
      <c r="M3" s="470"/>
      <c r="N3" s="470"/>
      <c r="O3" s="78"/>
    </row>
    <row r="4" spans="1:15" x14ac:dyDescent="0.25">
      <c r="A4" s="78"/>
      <c r="B4" s="610"/>
      <c r="C4" s="475"/>
      <c r="D4" s="2571" t="s">
        <v>550</v>
      </c>
      <c r="E4" s="2571"/>
      <c r="F4" s="2571"/>
      <c r="G4" s="2571"/>
      <c r="H4" s="2571"/>
      <c r="I4" s="2583"/>
      <c r="J4" s="2583"/>
      <c r="K4" s="2583"/>
      <c r="L4" s="950"/>
      <c r="M4" s="470"/>
      <c r="N4" s="470"/>
      <c r="O4" s="78"/>
    </row>
    <row r="5" spans="1:15" x14ac:dyDescent="0.25">
      <c r="A5" s="78"/>
      <c r="B5" s="951"/>
      <c r="C5" s="475"/>
      <c r="D5" s="2572" t="str">
        <f>CONCATENATE("Estimated for Test Year ",TestYear)</f>
        <v>Estimated for Test Year 2023</v>
      </c>
      <c r="E5" s="2572"/>
      <c r="F5" s="2572"/>
      <c r="G5" s="2572"/>
      <c r="H5" s="2572"/>
      <c r="I5" s="2565"/>
      <c r="J5" s="2565"/>
      <c r="K5" s="2565"/>
      <c r="L5" s="952"/>
      <c r="M5" s="470"/>
      <c r="N5" s="78"/>
      <c r="O5" s="78"/>
    </row>
    <row r="6" spans="1:15" ht="13.8" thickBot="1" x14ac:dyDescent="0.3">
      <c r="A6" s="78"/>
      <c r="B6" s="951"/>
      <c r="C6" s="475"/>
      <c r="D6" s="2586" t="s">
        <v>551</v>
      </c>
      <c r="E6" s="2586"/>
      <c r="F6" s="2586"/>
      <c r="G6" s="2586"/>
      <c r="H6" s="2586"/>
      <c r="I6" s="2586"/>
      <c r="J6" s="2586"/>
      <c r="K6" s="2586"/>
      <c r="L6" s="952"/>
      <c r="M6" s="470"/>
      <c r="N6" s="78"/>
      <c r="O6" s="180"/>
    </row>
    <row r="7" spans="1:15" ht="13.8" thickTop="1" x14ac:dyDescent="0.25">
      <c r="A7" s="78"/>
      <c r="B7" s="796"/>
      <c r="C7" s="495"/>
      <c r="D7" s="368"/>
      <c r="E7" s="368"/>
      <c r="F7" s="368"/>
      <c r="G7" s="368"/>
      <c r="H7" s="368"/>
      <c r="I7" s="368"/>
      <c r="J7" s="368"/>
      <c r="K7" s="1653"/>
      <c r="L7" s="1685"/>
      <c r="M7" s="806"/>
      <c r="N7" s="226"/>
      <c r="O7" s="78"/>
    </row>
    <row r="8" spans="1:15" x14ac:dyDescent="0.25">
      <c r="A8" s="78"/>
      <c r="B8" s="2221"/>
      <c r="C8" s="481" t="s">
        <v>1345</v>
      </c>
      <c r="D8" s="368"/>
      <c r="E8" s="368"/>
      <c r="F8" s="368"/>
      <c r="G8" s="368"/>
      <c r="H8" s="368"/>
      <c r="I8" s="368"/>
      <c r="J8" s="368"/>
      <c r="K8" s="1653"/>
      <c r="L8" s="1653"/>
      <c r="M8" s="1283"/>
      <c r="N8" s="228"/>
      <c r="O8" s="78"/>
    </row>
    <row r="9" spans="1:15" x14ac:dyDescent="0.25">
      <c r="A9" s="78"/>
      <c r="B9" s="504"/>
      <c r="C9" s="481" t="s">
        <v>1231</v>
      </c>
      <c r="D9" s="368"/>
      <c r="E9" s="368"/>
      <c r="F9" s="368"/>
      <c r="G9" s="368"/>
      <c r="H9" s="368"/>
      <c r="I9" s="368"/>
      <c r="J9" s="368"/>
      <c r="K9" s="1653"/>
      <c r="L9" s="1653"/>
      <c r="M9" s="1283"/>
      <c r="N9" s="228"/>
      <c r="O9" s="78"/>
    </row>
    <row r="10" spans="1:15" x14ac:dyDescent="0.25">
      <c r="A10" s="78"/>
      <c r="B10" s="506"/>
      <c r="C10" s="481"/>
      <c r="D10" s="368"/>
      <c r="E10" s="368"/>
      <c r="F10" s="368"/>
      <c r="G10" s="368"/>
      <c r="H10" s="368"/>
      <c r="I10" s="368"/>
      <c r="J10" s="368"/>
      <c r="K10" s="1653"/>
      <c r="L10" s="1653"/>
      <c r="M10" s="1283"/>
      <c r="N10" s="228"/>
      <c r="O10" s="78"/>
    </row>
    <row r="11" spans="1:15" ht="15" customHeight="1" x14ac:dyDescent="0.25">
      <c r="A11" s="78"/>
      <c r="B11" s="504"/>
      <c r="C11" s="477"/>
      <c r="D11" s="944" t="s">
        <v>8</v>
      </c>
      <c r="E11" s="2584"/>
      <c r="F11" s="2584"/>
      <c r="G11" s="2584"/>
      <c r="H11" s="2584"/>
      <c r="I11" s="2584"/>
      <c r="J11" s="2584"/>
      <c r="K11" s="2584"/>
      <c r="L11" s="2584"/>
      <c r="M11" s="2584"/>
      <c r="N11" s="228"/>
      <c r="O11" s="78"/>
    </row>
    <row r="12" spans="1:15" ht="12.75" customHeight="1" x14ac:dyDescent="0.25">
      <c r="A12" s="78"/>
      <c r="B12" s="504"/>
      <c r="C12" s="928"/>
      <c r="D12" s="944" t="s">
        <v>552</v>
      </c>
      <c r="E12" s="945"/>
      <c r="F12" s="946"/>
      <c r="G12" s="933"/>
      <c r="H12" s="713" t="str">
        <f>Data!H5</f>
        <v>Estimated</v>
      </c>
      <c r="I12" s="2585" t="str">
        <f>CONCATENATE("Estimate ",TestYear)</f>
        <v>Estimate 2023</v>
      </c>
      <c r="J12" s="2585"/>
      <c r="K12" s="2585" t="e">
        <f>CONCATENATE(Attach7!L12," ",#REF!-1)</f>
        <v>#REF!</v>
      </c>
      <c r="L12" s="2585"/>
      <c r="M12" s="709" t="s">
        <v>553</v>
      </c>
      <c r="N12" s="228"/>
      <c r="O12" s="78"/>
    </row>
    <row r="13" spans="1:15" x14ac:dyDescent="0.25">
      <c r="A13" s="78"/>
      <c r="B13" s="506" t="s">
        <v>443</v>
      </c>
      <c r="C13" s="477" t="s">
        <v>493</v>
      </c>
      <c r="D13" s="713" t="s">
        <v>554</v>
      </c>
      <c r="E13" s="2581" t="str">
        <f>CONCATENATE(Data!H5, " ",TestYear-1)</f>
        <v>Estimated 2022</v>
      </c>
      <c r="F13" s="2581"/>
      <c r="G13" s="948"/>
      <c r="H13" s="592" t="s">
        <v>494</v>
      </c>
      <c r="I13" s="2551" t="s">
        <v>495</v>
      </c>
      <c r="J13" s="2551"/>
      <c r="K13" s="2551" t="s">
        <v>496</v>
      </c>
      <c r="L13" s="2552"/>
      <c r="M13" s="591" t="s">
        <v>494</v>
      </c>
      <c r="N13" s="228"/>
      <c r="O13" s="78"/>
    </row>
    <row r="14" spans="1:15" ht="15" customHeight="1" x14ac:dyDescent="0.25">
      <c r="A14" s="78"/>
      <c r="B14" s="506" t="s">
        <v>444</v>
      </c>
      <c r="C14" s="713" t="s">
        <v>491</v>
      </c>
      <c r="D14" s="947" t="str">
        <f>CONCATENATE("12/31/",TestYear-2)</f>
        <v>12/31/2021</v>
      </c>
      <c r="E14" s="652" t="s">
        <v>497</v>
      </c>
      <c r="F14" s="653" t="s">
        <v>498</v>
      </c>
      <c r="G14" s="652" t="s">
        <v>499</v>
      </c>
      <c r="H14" s="592" t="str">
        <f>CONCATENATE("12/31/",TestYear-1)</f>
        <v>12/31/2022</v>
      </c>
      <c r="I14" s="653" t="s">
        <v>497</v>
      </c>
      <c r="J14" s="652" t="s">
        <v>498</v>
      </c>
      <c r="K14" s="652" t="s">
        <v>497</v>
      </c>
      <c r="L14" s="652" t="s">
        <v>498</v>
      </c>
      <c r="M14" s="591" t="str">
        <f>CONCATENATE("12/31/",TestYear)</f>
        <v>12/31/2023</v>
      </c>
      <c r="N14" s="228"/>
      <c r="O14" s="78"/>
    </row>
    <row r="15" spans="1:15" x14ac:dyDescent="0.25">
      <c r="A15" s="78"/>
      <c r="B15" s="797" t="s">
        <v>445</v>
      </c>
      <c r="C15" s="934"/>
      <c r="D15" s="774" t="s">
        <v>446</v>
      </c>
      <c r="E15" s="935" t="s">
        <v>555</v>
      </c>
      <c r="F15" s="783"/>
      <c r="G15" s="783"/>
      <c r="H15" s="783" t="s">
        <v>446</v>
      </c>
      <c r="I15" s="935" t="s">
        <v>555</v>
      </c>
      <c r="J15" s="783"/>
      <c r="K15" s="935" t="s">
        <v>555</v>
      </c>
      <c r="L15" s="783"/>
      <c r="M15" s="786" t="s">
        <v>446</v>
      </c>
      <c r="N15" s="228"/>
      <c r="O15" s="78"/>
    </row>
    <row r="16" spans="1:15" x14ac:dyDescent="0.25">
      <c r="A16" s="78"/>
      <c r="B16" s="506"/>
      <c r="C16" s="536" t="s">
        <v>503</v>
      </c>
      <c r="D16" s="519"/>
      <c r="E16" s="477"/>
      <c r="F16" s="477"/>
      <c r="G16" s="477"/>
      <c r="H16" s="477"/>
      <c r="I16" s="477"/>
      <c r="J16" s="477"/>
      <c r="K16" s="477"/>
      <c r="L16" s="477"/>
      <c r="M16" s="477"/>
      <c r="N16" s="503"/>
      <c r="O16" s="180"/>
    </row>
    <row r="17" spans="1:15" x14ac:dyDescent="0.25">
      <c r="A17" s="78"/>
      <c r="B17" s="506">
        <v>301</v>
      </c>
      <c r="C17" s="477" t="s">
        <v>504</v>
      </c>
      <c r="D17" s="688">
        <f>Data!B178</f>
        <v>0</v>
      </c>
      <c r="E17" s="538">
        <f>Data!C178</f>
        <v>0</v>
      </c>
      <c r="F17" s="538">
        <f>Data!D178</f>
        <v>0</v>
      </c>
      <c r="G17" s="936">
        <v>0</v>
      </c>
      <c r="H17" s="688">
        <f>SUM(D17:E17)-F17+G17</f>
        <v>0</v>
      </c>
      <c r="I17" s="936">
        <v>0</v>
      </c>
      <c r="J17" s="936">
        <v>0</v>
      </c>
      <c r="K17" s="936">
        <v>0</v>
      </c>
      <c r="L17" s="936">
        <v>0</v>
      </c>
      <c r="M17" s="688">
        <f>H17+I17-J17+K17-L17</f>
        <v>0</v>
      </c>
      <c r="N17" s="503"/>
      <c r="O17" s="78"/>
    </row>
    <row r="18" spans="1:15" x14ac:dyDescent="0.25">
      <c r="A18" s="78"/>
      <c r="B18" s="506">
        <v>302</v>
      </c>
      <c r="C18" s="477" t="s">
        <v>505</v>
      </c>
      <c r="D18" s="478">
        <f>Data!B179</f>
        <v>0</v>
      </c>
      <c r="E18" s="480">
        <f>Data!C179</f>
        <v>0</v>
      </c>
      <c r="F18" s="480">
        <f>Data!D179</f>
        <v>0</v>
      </c>
      <c r="G18" s="937">
        <v>0</v>
      </c>
      <c r="H18" s="478">
        <f>SUM(D18:E18)-F18+G18</f>
        <v>0</v>
      </c>
      <c r="I18" s="937">
        <v>0</v>
      </c>
      <c r="J18" s="937">
        <v>0</v>
      </c>
      <c r="K18" s="937">
        <v>0</v>
      </c>
      <c r="L18" s="937">
        <v>0</v>
      </c>
      <c r="M18" s="478">
        <f>H18+I18-J18+K18-L18</f>
        <v>0</v>
      </c>
      <c r="N18" s="503"/>
      <c r="O18" s="78"/>
    </row>
    <row r="19" spans="1:15" x14ac:dyDescent="0.25">
      <c r="A19" s="78"/>
      <c r="B19" s="506">
        <v>303</v>
      </c>
      <c r="C19" s="477" t="s">
        <v>506</v>
      </c>
      <c r="D19" s="479">
        <f>Data!B180</f>
        <v>0</v>
      </c>
      <c r="E19" s="779">
        <f>Data!C180</f>
        <v>0</v>
      </c>
      <c r="F19" s="779">
        <f>Data!D180</f>
        <v>0</v>
      </c>
      <c r="G19" s="937">
        <v>0</v>
      </c>
      <c r="H19" s="479">
        <f>SUM(D19:E19)-F19+G19</f>
        <v>0</v>
      </c>
      <c r="I19" s="937">
        <v>0</v>
      </c>
      <c r="J19" s="937">
        <v>0</v>
      </c>
      <c r="K19" s="937">
        <v>0</v>
      </c>
      <c r="L19" s="937">
        <v>0</v>
      </c>
      <c r="M19" s="478">
        <f>H19+I19-J19+K19-L19</f>
        <v>0</v>
      </c>
      <c r="N19" s="503"/>
      <c r="O19" s="78"/>
    </row>
    <row r="20" spans="1:15" x14ac:dyDescent="0.25">
      <c r="A20" s="78"/>
      <c r="B20" s="506"/>
      <c r="C20" s="477"/>
      <c r="D20" s="519"/>
      <c r="E20" s="477"/>
      <c r="F20" s="477"/>
      <c r="G20" s="477"/>
      <c r="H20" s="938"/>
      <c r="I20" s="477"/>
      <c r="J20" s="477"/>
      <c r="K20" s="477"/>
      <c r="L20" s="477"/>
      <c r="M20" s="938"/>
      <c r="N20" s="503"/>
      <c r="O20" s="78"/>
    </row>
    <row r="21" spans="1:15" x14ac:dyDescent="0.25">
      <c r="A21" s="78"/>
      <c r="B21" s="506"/>
      <c r="C21" s="477" t="s">
        <v>507</v>
      </c>
      <c r="D21" s="703">
        <f t="shared" ref="D21:M21" si="0">SUM(D17:D19)</f>
        <v>0</v>
      </c>
      <c r="E21" s="703">
        <f t="shared" si="0"/>
        <v>0</v>
      </c>
      <c r="F21" s="703">
        <f t="shared" si="0"/>
        <v>0</v>
      </c>
      <c r="G21" s="703">
        <f t="shared" si="0"/>
        <v>0</v>
      </c>
      <c r="H21" s="703">
        <f t="shared" si="0"/>
        <v>0</v>
      </c>
      <c r="I21" s="703">
        <f t="shared" si="0"/>
        <v>0</v>
      </c>
      <c r="J21" s="703">
        <f t="shared" si="0"/>
        <v>0</v>
      </c>
      <c r="K21" s="703">
        <f t="shared" si="0"/>
        <v>0</v>
      </c>
      <c r="L21" s="703">
        <f t="shared" si="0"/>
        <v>0</v>
      </c>
      <c r="M21" s="703">
        <f t="shared" si="0"/>
        <v>0</v>
      </c>
      <c r="N21" s="503"/>
      <c r="O21" s="78"/>
    </row>
    <row r="22" spans="1:15" x14ac:dyDescent="0.25">
      <c r="A22" s="78"/>
      <c r="B22" s="506"/>
      <c r="C22" s="477"/>
      <c r="D22" s="519" t="s">
        <v>508</v>
      </c>
      <c r="E22" s="477" t="s">
        <v>508</v>
      </c>
      <c r="F22" s="477" t="s">
        <v>508</v>
      </c>
      <c r="G22" s="477"/>
      <c r="H22" s="477" t="s">
        <v>508</v>
      </c>
      <c r="I22" s="939"/>
      <c r="J22" s="939"/>
      <c r="K22" s="477" t="s">
        <v>508</v>
      </c>
      <c r="L22" s="477" t="s">
        <v>508</v>
      </c>
      <c r="M22" s="477" t="s">
        <v>508</v>
      </c>
      <c r="N22" s="503"/>
      <c r="O22" s="78"/>
    </row>
    <row r="23" spans="1:15" x14ac:dyDescent="0.25">
      <c r="A23" s="78"/>
      <c r="B23" s="506"/>
      <c r="C23" s="536" t="s">
        <v>509</v>
      </c>
      <c r="D23" s="478"/>
      <c r="E23" s="480" t="s">
        <v>259</v>
      </c>
      <c r="F23" s="480" t="s">
        <v>259</v>
      </c>
      <c r="G23" s="480"/>
      <c r="H23" s="794" t="s">
        <v>259</v>
      </c>
      <c r="I23" s="794"/>
      <c r="J23" s="794"/>
      <c r="K23" s="480" t="s">
        <v>259</v>
      </c>
      <c r="L23" s="480" t="s">
        <v>259</v>
      </c>
      <c r="M23" s="794" t="s">
        <v>259</v>
      </c>
      <c r="N23" s="503"/>
      <c r="O23" s="78"/>
    </row>
    <row r="24" spans="1:15" x14ac:dyDescent="0.25">
      <c r="A24" s="78"/>
      <c r="B24" s="506">
        <v>310</v>
      </c>
      <c r="C24" s="477" t="s">
        <v>510</v>
      </c>
      <c r="D24" s="688">
        <f>Data!B181</f>
        <v>0</v>
      </c>
      <c r="E24" s="538">
        <f>Data!C181</f>
        <v>0</v>
      </c>
      <c r="F24" s="538">
        <f>Data!D181</f>
        <v>0</v>
      </c>
      <c r="G24" s="936">
        <v>0</v>
      </c>
      <c r="H24" s="688">
        <f t="shared" ref="H24:H30" si="1">SUM(D24:E24)-F24+G24</f>
        <v>0</v>
      </c>
      <c r="I24" s="936">
        <v>0</v>
      </c>
      <c r="J24" s="936">
        <v>0</v>
      </c>
      <c r="K24" s="936">
        <v>0</v>
      </c>
      <c r="L24" s="936">
        <v>0</v>
      </c>
      <c r="M24" s="688">
        <f t="shared" ref="M24:M30" si="2">H24+I24-J24+K24-L24</f>
        <v>0</v>
      </c>
      <c r="N24" s="503"/>
      <c r="O24" s="78"/>
    </row>
    <row r="25" spans="1:15" x14ac:dyDescent="0.25">
      <c r="A25" s="78"/>
      <c r="B25" s="506">
        <v>311</v>
      </c>
      <c r="C25" s="477" t="s">
        <v>511</v>
      </c>
      <c r="D25" s="478">
        <f>Data!B182</f>
        <v>0</v>
      </c>
      <c r="E25" s="480">
        <f>Data!C182</f>
        <v>0</v>
      </c>
      <c r="F25" s="480">
        <f>Data!D182</f>
        <v>0</v>
      </c>
      <c r="G25" s="937">
        <v>0</v>
      </c>
      <c r="H25" s="478">
        <f t="shared" si="1"/>
        <v>0</v>
      </c>
      <c r="I25" s="937">
        <v>0</v>
      </c>
      <c r="J25" s="937">
        <v>0</v>
      </c>
      <c r="K25" s="937">
        <v>0</v>
      </c>
      <c r="L25" s="937">
        <v>0</v>
      </c>
      <c r="M25" s="478">
        <f t="shared" si="2"/>
        <v>0</v>
      </c>
      <c r="N25" s="503"/>
      <c r="O25" s="78"/>
    </row>
    <row r="26" spans="1:15" x14ac:dyDescent="0.25">
      <c r="A26" s="78"/>
      <c r="B26" s="506">
        <v>312</v>
      </c>
      <c r="C26" s="477" t="s">
        <v>512</v>
      </c>
      <c r="D26" s="478">
        <f>Data!B183</f>
        <v>0</v>
      </c>
      <c r="E26" s="480">
        <f>Data!C183</f>
        <v>0</v>
      </c>
      <c r="F26" s="480">
        <f>Data!D183</f>
        <v>0</v>
      </c>
      <c r="G26" s="937">
        <v>0</v>
      </c>
      <c r="H26" s="478">
        <f t="shared" si="1"/>
        <v>0</v>
      </c>
      <c r="I26" s="937">
        <v>0</v>
      </c>
      <c r="J26" s="937">
        <v>0</v>
      </c>
      <c r="K26" s="937">
        <v>0</v>
      </c>
      <c r="L26" s="937">
        <v>0</v>
      </c>
      <c r="M26" s="478">
        <f t="shared" si="2"/>
        <v>0</v>
      </c>
      <c r="N26" s="503"/>
      <c r="O26" s="78"/>
    </row>
    <row r="27" spans="1:15" x14ac:dyDescent="0.25">
      <c r="A27" s="78"/>
      <c r="B27" s="506">
        <v>313</v>
      </c>
      <c r="C27" s="477" t="s">
        <v>513</v>
      </c>
      <c r="D27" s="478">
        <f>Data!B184</f>
        <v>0</v>
      </c>
      <c r="E27" s="480">
        <f>Data!C184</f>
        <v>0</v>
      </c>
      <c r="F27" s="480">
        <f>Data!D184</f>
        <v>0</v>
      </c>
      <c r="G27" s="937">
        <v>0</v>
      </c>
      <c r="H27" s="478">
        <f t="shared" si="1"/>
        <v>0</v>
      </c>
      <c r="I27" s="937">
        <v>0</v>
      </c>
      <c r="J27" s="937">
        <v>0</v>
      </c>
      <c r="K27" s="937">
        <v>0</v>
      </c>
      <c r="L27" s="937">
        <v>0</v>
      </c>
      <c r="M27" s="478">
        <f t="shared" si="2"/>
        <v>0</v>
      </c>
      <c r="N27" s="503"/>
      <c r="O27" s="78"/>
    </row>
    <row r="28" spans="1:15" x14ac:dyDescent="0.25">
      <c r="A28" s="78"/>
      <c r="B28" s="506">
        <v>314</v>
      </c>
      <c r="C28" s="477" t="s">
        <v>514</v>
      </c>
      <c r="D28" s="478">
        <f>Data!B185</f>
        <v>0</v>
      </c>
      <c r="E28" s="480">
        <f>Data!C185</f>
        <v>0</v>
      </c>
      <c r="F28" s="480">
        <f>Data!D185</f>
        <v>0</v>
      </c>
      <c r="G28" s="937">
        <v>0</v>
      </c>
      <c r="H28" s="478">
        <f t="shared" si="1"/>
        <v>0</v>
      </c>
      <c r="I28" s="937">
        <v>0</v>
      </c>
      <c r="J28" s="937">
        <v>0</v>
      </c>
      <c r="K28" s="937">
        <v>0</v>
      </c>
      <c r="L28" s="937">
        <v>0</v>
      </c>
      <c r="M28" s="478">
        <f t="shared" si="2"/>
        <v>0</v>
      </c>
      <c r="N28" s="503"/>
      <c r="O28" s="78"/>
    </row>
    <row r="29" spans="1:15" x14ac:dyDescent="0.25">
      <c r="A29" s="78"/>
      <c r="B29" s="506">
        <v>316</v>
      </c>
      <c r="C29" s="477" t="s">
        <v>515</v>
      </c>
      <c r="D29" s="478">
        <f>Data!B186</f>
        <v>0</v>
      </c>
      <c r="E29" s="480">
        <f>Data!C186</f>
        <v>0</v>
      </c>
      <c r="F29" s="480">
        <f>Data!D186</f>
        <v>0</v>
      </c>
      <c r="G29" s="937">
        <v>0</v>
      </c>
      <c r="H29" s="478">
        <f t="shared" si="1"/>
        <v>0</v>
      </c>
      <c r="I29" s="937">
        <v>0</v>
      </c>
      <c r="J29" s="937">
        <v>0</v>
      </c>
      <c r="K29" s="937">
        <v>0</v>
      </c>
      <c r="L29" s="937">
        <v>0</v>
      </c>
      <c r="M29" s="478">
        <f t="shared" si="2"/>
        <v>0</v>
      </c>
      <c r="N29" s="503"/>
      <c r="O29" s="78"/>
    </row>
    <row r="30" spans="1:15" x14ac:dyDescent="0.25">
      <c r="A30" s="78"/>
      <c r="B30" s="506">
        <v>317</v>
      </c>
      <c r="C30" s="477" t="s">
        <v>516</v>
      </c>
      <c r="D30" s="479">
        <f>Data!B187</f>
        <v>0</v>
      </c>
      <c r="E30" s="690">
        <f>Data!C187</f>
        <v>0</v>
      </c>
      <c r="F30" s="690">
        <f>Data!D187</f>
        <v>0</v>
      </c>
      <c r="G30" s="937">
        <v>0</v>
      </c>
      <c r="H30" s="478">
        <f t="shared" si="1"/>
        <v>0</v>
      </c>
      <c r="I30" s="937">
        <v>0</v>
      </c>
      <c r="J30" s="937">
        <v>0</v>
      </c>
      <c r="K30" s="937">
        <v>0</v>
      </c>
      <c r="L30" s="937">
        <v>0</v>
      </c>
      <c r="M30" s="478">
        <f t="shared" si="2"/>
        <v>0</v>
      </c>
      <c r="N30" s="503"/>
      <c r="O30" s="78"/>
    </row>
    <row r="31" spans="1:15" x14ac:dyDescent="0.25">
      <c r="A31" s="78"/>
      <c r="B31" s="506"/>
      <c r="C31" s="477"/>
      <c r="D31" s="519"/>
      <c r="E31" s="477"/>
      <c r="F31" s="477"/>
      <c r="G31" s="477"/>
      <c r="H31" s="938"/>
      <c r="I31" s="477"/>
      <c r="J31" s="477"/>
      <c r="K31" s="477"/>
      <c r="L31" s="477"/>
      <c r="M31" s="938"/>
      <c r="N31" s="503"/>
      <c r="O31" s="78"/>
    </row>
    <row r="32" spans="1:15" x14ac:dyDescent="0.25">
      <c r="A32" s="78"/>
      <c r="B32" s="506"/>
      <c r="C32" s="477" t="s">
        <v>517</v>
      </c>
      <c r="D32" s="703">
        <f t="shared" ref="D32:M32" si="3">SUM(D24:D30)</f>
        <v>0</v>
      </c>
      <c r="E32" s="703">
        <f t="shared" si="3"/>
        <v>0</v>
      </c>
      <c r="F32" s="703">
        <f t="shared" si="3"/>
        <v>0</v>
      </c>
      <c r="G32" s="703">
        <f t="shared" si="3"/>
        <v>0</v>
      </c>
      <c r="H32" s="703">
        <f t="shared" si="3"/>
        <v>0</v>
      </c>
      <c r="I32" s="703">
        <f t="shared" si="3"/>
        <v>0</v>
      </c>
      <c r="J32" s="703">
        <f t="shared" si="3"/>
        <v>0</v>
      </c>
      <c r="K32" s="703">
        <f t="shared" si="3"/>
        <v>0</v>
      </c>
      <c r="L32" s="703">
        <f t="shared" si="3"/>
        <v>0</v>
      </c>
      <c r="M32" s="703">
        <f t="shared" si="3"/>
        <v>0</v>
      </c>
      <c r="N32" s="503"/>
      <c r="O32" s="78"/>
    </row>
    <row r="33" spans="1:15" x14ac:dyDescent="0.25">
      <c r="A33" s="78"/>
      <c r="B33" s="506"/>
      <c r="C33" s="477"/>
      <c r="D33" s="519" t="s">
        <v>508</v>
      </c>
      <c r="E33" s="477" t="s">
        <v>508</v>
      </c>
      <c r="F33" s="477" t="s">
        <v>508</v>
      </c>
      <c r="G33" s="477"/>
      <c r="H33" s="477" t="s">
        <v>508</v>
      </c>
      <c r="I33" s="939"/>
      <c r="J33" s="939"/>
      <c r="K33" s="477" t="s">
        <v>508</v>
      </c>
      <c r="L33" s="477" t="s">
        <v>508</v>
      </c>
      <c r="M33" s="477" t="s">
        <v>508</v>
      </c>
      <c r="N33" s="503"/>
      <c r="O33" s="78"/>
    </row>
    <row r="34" spans="1:15" x14ac:dyDescent="0.25">
      <c r="A34" s="78"/>
      <c r="B34" s="506"/>
      <c r="C34" s="536" t="s">
        <v>518</v>
      </c>
      <c r="D34" s="478" t="s">
        <v>259</v>
      </c>
      <c r="E34" s="480" t="s">
        <v>259</v>
      </c>
      <c r="F34" s="480" t="s">
        <v>259</v>
      </c>
      <c r="G34" s="480"/>
      <c r="H34" s="480" t="s">
        <v>259</v>
      </c>
      <c r="I34" s="940"/>
      <c r="J34" s="940"/>
      <c r="K34" s="480" t="s">
        <v>259</v>
      </c>
      <c r="L34" s="480" t="s">
        <v>259</v>
      </c>
      <c r="M34" s="480" t="s">
        <v>259</v>
      </c>
      <c r="N34" s="503"/>
      <c r="O34" s="78"/>
    </row>
    <row r="35" spans="1:15" x14ac:dyDescent="0.25">
      <c r="A35" s="78"/>
      <c r="B35" s="506">
        <v>320</v>
      </c>
      <c r="C35" s="477" t="s">
        <v>510</v>
      </c>
      <c r="D35" s="688">
        <f>Data!B188</f>
        <v>0</v>
      </c>
      <c r="E35" s="538">
        <f>Data!C188</f>
        <v>0</v>
      </c>
      <c r="F35" s="538">
        <f>Data!D188</f>
        <v>0</v>
      </c>
      <c r="G35" s="936">
        <v>0</v>
      </c>
      <c r="H35" s="688">
        <f t="shared" ref="H35:H40" si="4">SUM(D35:E35)-F35+G35</f>
        <v>0</v>
      </c>
      <c r="I35" s="936">
        <v>0</v>
      </c>
      <c r="J35" s="936">
        <v>0</v>
      </c>
      <c r="K35" s="936">
        <v>0</v>
      </c>
      <c r="L35" s="936">
        <v>0</v>
      </c>
      <c r="M35" s="688">
        <f t="shared" ref="M35:M40" si="5">H35+I35-J35+K35-L35</f>
        <v>0</v>
      </c>
      <c r="N35" s="503"/>
      <c r="O35" s="78"/>
    </row>
    <row r="36" spans="1:15" x14ac:dyDescent="0.25">
      <c r="A36" s="78"/>
      <c r="B36" s="506">
        <v>321</v>
      </c>
      <c r="C36" s="477" t="s">
        <v>511</v>
      </c>
      <c r="D36" s="478">
        <f>Data!B189</f>
        <v>0</v>
      </c>
      <c r="E36" s="480">
        <f>Data!C189</f>
        <v>0</v>
      </c>
      <c r="F36" s="480">
        <f>Data!D189</f>
        <v>0</v>
      </c>
      <c r="G36" s="937">
        <v>0</v>
      </c>
      <c r="H36" s="478">
        <f t="shared" si="4"/>
        <v>0</v>
      </c>
      <c r="I36" s="937">
        <v>0</v>
      </c>
      <c r="J36" s="937">
        <v>0</v>
      </c>
      <c r="K36" s="937">
        <v>0</v>
      </c>
      <c r="L36" s="937">
        <v>0</v>
      </c>
      <c r="M36" s="478">
        <f t="shared" si="5"/>
        <v>0</v>
      </c>
      <c r="N36" s="503"/>
      <c r="O36" s="78"/>
    </row>
    <row r="37" spans="1:15" x14ac:dyDescent="0.25">
      <c r="A37" s="78"/>
      <c r="B37" s="506">
        <v>323</v>
      </c>
      <c r="C37" s="477" t="s">
        <v>519</v>
      </c>
      <c r="D37" s="478">
        <f>Data!B190</f>
        <v>0</v>
      </c>
      <c r="E37" s="480">
        <f>Data!C190</f>
        <v>0</v>
      </c>
      <c r="F37" s="480">
        <f>Data!D190</f>
        <v>0</v>
      </c>
      <c r="G37" s="937">
        <v>0</v>
      </c>
      <c r="H37" s="478">
        <f t="shared" si="4"/>
        <v>0</v>
      </c>
      <c r="I37" s="937">
        <v>0</v>
      </c>
      <c r="J37" s="937">
        <v>0</v>
      </c>
      <c r="K37" s="937">
        <v>0</v>
      </c>
      <c r="L37" s="937">
        <v>0</v>
      </c>
      <c r="M37" s="478">
        <f t="shared" si="5"/>
        <v>0</v>
      </c>
      <c r="N37" s="503"/>
      <c r="O37" s="78"/>
    </row>
    <row r="38" spans="1:15" x14ac:dyDescent="0.25">
      <c r="A38" s="78"/>
      <c r="B38" s="506">
        <v>325</v>
      </c>
      <c r="C38" s="477" t="s">
        <v>520</v>
      </c>
      <c r="D38" s="478">
        <f>Data!B191</f>
        <v>0</v>
      </c>
      <c r="E38" s="480">
        <f>Data!C191</f>
        <v>0</v>
      </c>
      <c r="F38" s="480">
        <f>Data!D191</f>
        <v>0</v>
      </c>
      <c r="G38" s="937">
        <v>0</v>
      </c>
      <c r="H38" s="478">
        <f t="shared" si="4"/>
        <v>0</v>
      </c>
      <c r="I38" s="937">
        <v>0</v>
      </c>
      <c r="J38" s="937">
        <v>0</v>
      </c>
      <c r="K38" s="937">
        <v>0</v>
      </c>
      <c r="L38" s="937">
        <v>0</v>
      </c>
      <c r="M38" s="478">
        <f t="shared" si="5"/>
        <v>0</v>
      </c>
      <c r="N38" s="503"/>
      <c r="O38" s="78"/>
    </row>
    <row r="39" spans="1:15" x14ac:dyDescent="0.25">
      <c r="A39" s="78"/>
      <c r="B39" s="506">
        <v>326</v>
      </c>
      <c r="C39" s="477" t="s">
        <v>521</v>
      </c>
      <c r="D39" s="478">
        <f>Data!B192</f>
        <v>0</v>
      </c>
      <c r="E39" s="480">
        <f>Data!C192</f>
        <v>0</v>
      </c>
      <c r="F39" s="480">
        <f>Data!D192</f>
        <v>0</v>
      </c>
      <c r="G39" s="937">
        <v>0</v>
      </c>
      <c r="H39" s="478">
        <f t="shared" si="4"/>
        <v>0</v>
      </c>
      <c r="I39" s="937">
        <v>0</v>
      </c>
      <c r="J39" s="937">
        <v>0</v>
      </c>
      <c r="K39" s="937">
        <v>0</v>
      </c>
      <c r="L39" s="937">
        <v>0</v>
      </c>
      <c r="M39" s="478">
        <f t="shared" si="5"/>
        <v>0</v>
      </c>
      <c r="N39" s="503"/>
      <c r="O39" s="78"/>
    </row>
    <row r="40" spans="1:15" x14ac:dyDescent="0.25">
      <c r="A40" s="78"/>
      <c r="B40" s="506">
        <v>328</v>
      </c>
      <c r="C40" s="477" t="s">
        <v>522</v>
      </c>
      <c r="D40" s="479">
        <f>Data!B193</f>
        <v>0</v>
      </c>
      <c r="E40" s="690">
        <f>Data!C193</f>
        <v>0</v>
      </c>
      <c r="F40" s="690">
        <f>Data!D193</f>
        <v>0</v>
      </c>
      <c r="G40" s="937">
        <v>0</v>
      </c>
      <c r="H40" s="478">
        <f t="shared" si="4"/>
        <v>0</v>
      </c>
      <c r="I40" s="937">
        <v>0</v>
      </c>
      <c r="J40" s="937">
        <v>0</v>
      </c>
      <c r="K40" s="937">
        <v>0</v>
      </c>
      <c r="L40" s="937">
        <v>0</v>
      </c>
      <c r="M40" s="478">
        <f t="shared" si="5"/>
        <v>0</v>
      </c>
      <c r="N40" s="503"/>
      <c r="O40" s="78"/>
    </row>
    <row r="41" spans="1:15" x14ac:dyDescent="0.25">
      <c r="A41" s="78"/>
      <c r="B41" s="504"/>
      <c r="C41" s="477"/>
      <c r="D41" s="477"/>
      <c r="E41" s="477"/>
      <c r="F41" s="477"/>
      <c r="G41" s="477"/>
      <c r="H41" s="938"/>
      <c r="I41" s="477"/>
      <c r="J41" s="477"/>
      <c r="K41" s="477"/>
      <c r="L41" s="477"/>
      <c r="M41" s="938"/>
      <c r="N41" s="503"/>
      <c r="O41" s="78"/>
    </row>
    <row r="42" spans="1:15" x14ac:dyDescent="0.25">
      <c r="A42" s="78"/>
      <c r="B42" s="504"/>
      <c r="C42" s="477" t="s">
        <v>523</v>
      </c>
      <c r="D42" s="703">
        <f t="shared" ref="D42:M42" si="6">SUM(D35:D40)</f>
        <v>0</v>
      </c>
      <c r="E42" s="703">
        <f t="shared" si="6"/>
        <v>0</v>
      </c>
      <c r="F42" s="703">
        <f t="shared" si="6"/>
        <v>0</v>
      </c>
      <c r="G42" s="703">
        <f t="shared" si="6"/>
        <v>0</v>
      </c>
      <c r="H42" s="703">
        <f t="shared" si="6"/>
        <v>0</v>
      </c>
      <c r="I42" s="703">
        <f t="shared" si="6"/>
        <v>0</v>
      </c>
      <c r="J42" s="703">
        <f t="shared" si="6"/>
        <v>0</v>
      </c>
      <c r="K42" s="703">
        <f t="shared" si="6"/>
        <v>0</v>
      </c>
      <c r="L42" s="703">
        <f t="shared" si="6"/>
        <v>0</v>
      </c>
      <c r="M42" s="703">
        <f t="shared" si="6"/>
        <v>0</v>
      </c>
      <c r="N42" s="503"/>
      <c r="O42" s="78"/>
    </row>
    <row r="43" spans="1:15" x14ac:dyDescent="0.25">
      <c r="A43" s="78"/>
      <c r="B43" s="504"/>
      <c r="C43" s="477"/>
      <c r="D43" s="538"/>
      <c r="E43" s="538"/>
      <c r="F43" s="538"/>
      <c r="G43" s="538"/>
      <c r="H43" s="538"/>
      <c r="I43" s="538"/>
      <c r="J43" s="538"/>
      <c r="K43" s="538"/>
      <c r="L43" s="538"/>
      <c r="M43" s="538"/>
      <c r="N43" s="503"/>
      <c r="O43" s="78"/>
    </row>
    <row r="44" spans="1:15" x14ac:dyDescent="0.25">
      <c r="A44" s="78"/>
      <c r="B44" s="506"/>
      <c r="C44" s="536" t="s">
        <v>524</v>
      </c>
      <c r="D44" s="480" t="s">
        <v>259</v>
      </c>
      <c r="E44" s="480"/>
      <c r="F44" s="480"/>
      <c r="G44" s="480"/>
      <c r="H44" s="480"/>
      <c r="I44" s="480"/>
      <c r="J44" s="480"/>
      <c r="K44" s="480" t="s">
        <v>259</v>
      </c>
      <c r="L44" s="480" t="s">
        <v>259</v>
      </c>
      <c r="M44" s="480" t="s">
        <v>259</v>
      </c>
      <c r="N44" s="228"/>
      <c r="O44" s="78"/>
    </row>
    <row r="45" spans="1:15" x14ac:dyDescent="0.25">
      <c r="A45" s="78"/>
      <c r="B45" s="506">
        <v>330</v>
      </c>
      <c r="C45" s="477" t="s">
        <v>510</v>
      </c>
      <c r="D45" s="688">
        <f>Data!B194</f>
        <v>0</v>
      </c>
      <c r="E45" s="538">
        <f>Data!C194</f>
        <v>0</v>
      </c>
      <c r="F45" s="538">
        <f>Data!D194</f>
        <v>0</v>
      </c>
      <c r="G45" s="936">
        <v>0</v>
      </c>
      <c r="H45" s="688">
        <f>SUM(D45:E45)-F45+G45</f>
        <v>0</v>
      </c>
      <c r="I45" s="936">
        <v>0</v>
      </c>
      <c r="J45" s="936">
        <v>0</v>
      </c>
      <c r="K45" s="936">
        <v>0</v>
      </c>
      <c r="L45" s="936">
        <v>0</v>
      </c>
      <c r="M45" s="688">
        <f>H45+I45-J45+K45-L45</f>
        <v>0</v>
      </c>
      <c r="N45" s="228"/>
      <c r="O45" s="78"/>
    </row>
    <row r="46" spans="1:15" x14ac:dyDescent="0.25">
      <c r="A46" s="78"/>
      <c r="B46" s="506">
        <v>331</v>
      </c>
      <c r="C46" s="477" t="s">
        <v>511</v>
      </c>
      <c r="D46" s="478">
        <f>Data!B195</f>
        <v>0</v>
      </c>
      <c r="E46" s="480">
        <f>Data!C195</f>
        <v>0</v>
      </c>
      <c r="F46" s="480">
        <f>Data!D195</f>
        <v>0</v>
      </c>
      <c r="G46" s="937">
        <v>0</v>
      </c>
      <c r="H46" s="478">
        <f>SUM(D46:E46)-F46+G46</f>
        <v>0</v>
      </c>
      <c r="I46" s="937">
        <v>0</v>
      </c>
      <c r="J46" s="937">
        <v>0</v>
      </c>
      <c r="K46" s="937">
        <v>0</v>
      </c>
      <c r="L46" s="937">
        <v>0</v>
      </c>
      <c r="M46" s="478">
        <f>H46+I46-J46+K46-L46</f>
        <v>0</v>
      </c>
      <c r="N46" s="228"/>
      <c r="O46" s="78"/>
    </row>
    <row r="47" spans="1:15" x14ac:dyDescent="0.25">
      <c r="A47" s="78"/>
      <c r="B47" s="506">
        <v>332</v>
      </c>
      <c r="C47" s="477" t="s">
        <v>556</v>
      </c>
      <c r="D47" s="478">
        <f>Data!B196</f>
        <v>0</v>
      </c>
      <c r="E47" s="480">
        <f>Data!C196</f>
        <v>0</v>
      </c>
      <c r="F47" s="480">
        <f>Data!D196</f>
        <v>0</v>
      </c>
      <c r="G47" s="937">
        <v>0</v>
      </c>
      <c r="H47" s="478">
        <f>SUM(D47:E47)-F47+G47</f>
        <v>0</v>
      </c>
      <c r="I47" s="937">
        <v>0</v>
      </c>
      <c r="J47" s="937">
        <v>0</v>
      </c>
      <c r="K47" s="937">
        <v>0</v>
      </c>
      <c r="L47" s="937">
        <v>0</v>
      </c>
      <c r="M47" s="478">
        <f>H47+I47-J47+K47-L47</f>
        <v>0</v>
      </c>
      <c r="N47" s="228"/>
      <c r="O47" s="78"/>
    </row>
    <row r="48" spans="1:15" x14ac:dyDescent="0.25">
      <c r="A48" s="78"/>
      <c r="B48" s="506">
        <v>333</v>
      </c>
      <c r="C48" s="477" t="s">
        <v>526</v>
      </c>
      <c r="D48" s="478">
        <f>Data!B197</f>
        <v>0</v>
      </c>
      <c r="E48" s="480">
        <f>Data!C197</f>
        <v>0</v>
      </c>
      <c r="F48" s="480">
        <f>Data!D197</f>
        <v>0</v>
      </c>
      <c r="G48" s="937">
        <v>0</v>
      </c>
      <c r="H48" s="478">
        <f>SUM(D48:E48)-F48+G48</f>
        <v>0</v>
      </c>
      <c r="I48" s="937">
        <v>0</v>
      </c>
      <c r="J48" s="937">
        <v>0</v>
      </c>
      <c r="K48" s="937">
        <v>0</v>
      </c>
      <c r="L48" s="937">
        <v>0</v>
      </c>
      <c r="M48" s="478">
        <f>H48+I48-J48+K48-L48</f>
        <v>0</v>
      </c>
      <c r="N48" s="228"/>
      <c r="O48" s="78"/>
    </row>
    <row r="49" spans="1:15" x14ac:dyDescent="0.25">
      <c r="A49" s="78"/>
      <c r="B49" s="506">
        <v>334</v>
      </c>
      <c r="C49" s="477" t="s">
        <v>527</v>
      </c>
      <c r="D49" s="478">
        <f>Data!B198</f>
        <v>0</v>
      </c>
      <c r="E49" s="480">
        <f>Data!C198</f>
        <v>0</v>
      </c>
      <c r="F49" s="480">
        <f>Data!D198</f>
        <v>0</v>
      </c>
      <c r="G49" s="937">
        <v>0</v>
      </c>
      <c r="H49" s="478">
        <f>SUM(D49:E49)-F49+G49</f>
        <v>0</v>
      </c>
      <c r="I49" s="937">
        <v>0</v>
      </c>
      <c r="J49" s="937">
        <v>0</v>
      </c>
      <c r="K49" s="937">
        <v>0</v>
      </c>
      <c r="L49" s="937">
        <v>0</v>
      </c>
      <c r="M49" s="478">
        <f>H49+I49-J49+K49-L49</f>
        <v>0</v>
      </c>
      <c r="N49" s="228"/>
      <c r="O49" s="78"/>
    </row>
    <row r="50" spans="1:15" x14ac:dyDescent="0.25">
      <c r="A50" s="78"/>
      <c r="B50" s="506"/>
      <c r="C50" s="477"/>
      <c r="D50" s="688"/>
      <c r="E50" s="538"/>
      <c r="F50" s="538"/>
      <c r="G50" s="538"/>
      <c r="H50" s="538"/>
      <c r="I50" s="538"/>
      <c r="J50" s="538"/>
      <c r="K50" s="538"/>
      <c r="L50" s="538"/>
      <c r="M50" s="538"/>
      <c r="N50" s="228"/>
      <c r="O50" s="78"/>
    </row>
    <row r="51" spans="1:15" x14ac:dyDescent="0.25">
      <c r="A51" s="78"/>
      <c r="B51" s="506"/>
      <c r="C51" s="477" t="s">
        <v>528</v>
      </c>
      <c r="D51" s="703">
        <f t="shared" ref="D51:M51" si="7">SUM(D45:D50)</f>
        <v>0</v>
      </c>
      <c r="E51" s="703">
        <f t="shared" si="7"/>
        <v>0</v>
      </c>
      <c r="F51" s="703">
        <f t="shared" si="7"/>
        <v>0</v>
      </c>
      <c r="G51" s="703">
        <f t="shared" si="7"/>
        <v>0</v>
      </c>
      <c r="H51" s="703">
        <f t="shared" si="7"/>
        <v>0</v>
      </c>
      <c r="I51" s="703">
        <f t="shared" si="7"/>
        <v>0</v>
      </c>
      <c r="J51" s="703">
        <f t="shared" si="7"/>
        <v>0</v>
      </c>
      <c r="K51" s="703">
        <f t="shared" si="7"/>
        <v>0</v>
      </c>
      <c r="L51" s="703">
        <f t="shared" si="7"/>
        <v>0</v>
      </c>
      <c r="M51" s="703">
        <f t="shared" si="7"/>
        <v>0</v>
      </c>
      <c r="N51" s="228"/>
      <c r="O51" s="78"/>
    </row>
    <row r="52" spans="1:15" x14ac:dyDescent="0.25">
      <c r="A52" s="78"/>
      <c r="B52" s="941"/>
      <c r="C52" s="477"/>
      <c r="D52" s="477"/>
      <c r="E52" s="477"/>
      <c r="F52" s="477"/>
      <c r="G52" s="477"/>
      <c r="H52" s="477"/>
      <c r="I52" s="477"/>
      <c r="J52" s="477"/>
      <c r="K52" s="477"/>
      <c r="L52" s="477"/>
      <c r="M52" s="949"/>
      <c r="N52" s="503"/>
      <c r="O52" s="78"/>
    </row>
    <row r="53" spans="1:15" ht="13.8" thickBot="1" x14ac:dyDescent="0.3">
      <c r="A53" s="78"/>
      <c r="B53" s="508"/>
      <c r="C53" s="509"/>
      <c r="D53" s="2570"/>
      <c r="E53" s="2570"/>
      <c r="F53" s="2570"/>
      <c r="G53" s="2570"/>
      <c r="H53" s="2570"/>
      <c r="I53" s="2570"/>
      <c r="J53" s="2570"/>
      <c r="K53" s="2570"/>
      <c r="L53" s="2570"/>
      <c r="M53" s="509"/>
      <c r="N53" s="943"/>
      <c r="O53" s="78"/>
    </row>
    <row r="54" spans="1:15" ht="13.8" thickTop="1" x14ac:dyDescent="0.25">
      <c r="A54" s="78"/>
      <c r="B54" s="927"/>
      <c r="C54" s="79"/>
      <c r="D54" s="767"/>
      <c r="E54" s="80"/>
      <c r="F54" s="80"/>
      <c r="G54" s="80"/>
      <c r="H54" s="80"/>
      <c r="I54" s="80"/>
      <c r="J54" s="80"/>
      <c r="K54" s="80"/>
      <c r="L54" s="80"/>
      <c r="M54" s="79"/>
      <c r="N54" s="78"/>
      <c r="O54" s="78"/>
    </row>
    <row r="55" spans="1:15" x14ac:dyDescent="0.25">
      <c r="A55" s="78"/>
      <c r="B55" s="953" t="str">
        <f>B1</f>
        <v>2023 Test Year</v>
      </c>
      <c r="C55" s="475"/>
      <c r="D55" s="2564" t="str">
        <f>Utility</f>
        <v>Cleveland Water Utility</v>
      </c>
      <c r="E55" s="2564"/>
      <c r="F55" s="2564"/>
      <c r="G55" s="2564"/>
      <c r="H55" s="2564"/>
      <c r="I55" s="2564"/>
      <c r="J55" s="2564"/>
      <c r="K55" s="2564"/>
      <c r="L55" s="954"/>
      <c r="M55" s="475"/>
      <c r="N55" s="470" t="s">
        <v>549</v>
      </c>
      <c r="O55" s="78"/>
    </row>
    <row r="56" spans="1:15" ht="12" customHeight="1" x14ac:dyDescent="0.25">
      <c r="A56" s="78"/>
      <c r="B56" s="770"/>
      <c r="C56" s="475"/>
      <c r="D56" s="2571" t="s">
        <v>550</v>
      </c>
      <c r="E56" s="2571"/>
      <c r="F56" s="2571"/>
      <c r="G56" s="2571"/>
      <c r="H56" s="2571"/>
      <c r="I56" s="2571"/>
      <c r="J56" s="2571"/>
      <c r="K56" s="2571"/>
      <c r="L56" s="954"/>
      <c r="M56" s="770"/>
      <c r="N56" s="470" t="s">
        <v>467</v>
      </c>
      <c r="O56" s="78"/>
    </row>
    <row r="57" spans="1:15" ht="15" customHeight="1" x14ac:dyDescent="0.25">
      <c r="A57" s="78"/>
      <c r="B57" s="770"/>
      <c r="C57" s="952"/>
      <c r="D57" s="2572" t="str">
        <f>D5</f>
        <v>Estimated for Test Year 2023</v>
      </c>
      <c r="E57" s="2572"/>
      <c r="F57" s="2572"/>
      <c r="G57" s="2572"/>
      <c r="H57" s="2572"/>
      <c r="I57" s="2572"/>
      <c r="J57" s="2572"/>
      <c r="K57" s="2572"/>
      <c r="L57" s="952"/>
      <c r="M57" s="770"/>
      <c r="N57" s="78"/>
      <c r="O57" s="78"/>
    </row>
    <row r="58" spans="1:15" ht="15" customHeight="1" thickBot="1" x14ac:dyDescent="0.3">
      <c r="A58" s="78"/>
      <c r="B58" s="770"/>
      <c r="C58" s="952"/>
      <c r="D58" s="2580" t="s">
        <v>551</v>
      </c>
      <c r="E58" s="2580"/>
      <c r="F58" s="2580"/>
      <c r="G58" s="2580"/>
      <c r="H58" s="2580"/>
      <c r="I58" s="2580"/>
      <c r="J58" s="2580"/>
      <c r="K58" s="2580"/>
      <c r="L58" s="952"/>
      <c r="M58" s="770"/>
      <c r="N58" s="78"/>
      <c r="O58" s="78"/>
    </row>
    <row r="59" spans="1:15" ht="15.75" customHeight="1" thickTop="1" x14ac:dyDescent="0.25">
      <c r="A59" s="78"/>
      <c r="B59" s="961"/>
      <c r="C59" s="962"/>
      <c r="D59" s="791"/>
      <c r="E59" s="791"/>
      <c r="F59" s="791"/>
      <c r="G59" s="791"/>
      <c r="H59" s="791"/>
      <c r="I59" s="791"/>
      <c r="J59" s="791"/>
      <c r="K59" s="791"/>
      <c r="L59" s="791"/>
      <c r="M59" s="962"/>
      <c r="N59" s="226"/>
      <c r="O59" s="78"/>
    </row>
    <row r="60" spans="1:15" x14ac:dyDescent="0.25">
      <c r="A60" s="78"/>
      <c r="B60" s="963"/>
      <c r="C60" s="519"/>
      <c r="D60" s="947" t="str">
        <f>D11</f>
        <v>Actual</v>
      </c>
      <c r="E60" s="2579"/>
      <c r="F60" s="2579"/>
      <c r="G60" s="2579"/>
      <c r="H60" s="2579"/>
      <c r="I60" s="2579"/>
      <c r="J60" s="2579"/>
      <c r="K60" s="2579"/>
      <c r="L60" s="2579"/>
      <c r="M60" s="2579"/>
      <c r="N60" s="228"/>
      <c r="O60" s="78"/>
    </row>
    <row r="61" spans="1:15" x14ac:dyDescent="0.25">
      <c r="A61" s="78"/>
      <c r="B61" s="963"/>
      <c r="C61" s="519" t="s">
        <v>442</v>
      </c>
      <c r="D61" s="947" t="str">
        <f>D12</f>
        <v>Contributed</v>
      </c>
      <c r="E61" s="2581" t="str">
        <f>E13</f>
        <v>Estimated 2022</v>
      </c>
      <c r="F61" s="2582"/>
      <c r="G61" s="948"/>
      <c r="H61" s="592" t="str">
        <f>H12</f>
        <v>Estimated</v>
      </c>
      <c r="I61" s="2561" t="str">
        <f>I12</f>
        <v>Estimate 2023</v>
      </c>
      <c r="J61" s="2561"/>
      <c r="K61" s="2561" t="e">
        <f>CONCATENATE(Attach7!L60," ",#REF!-1)</f>
        <v>#REF!</v>
      </c>
      <c r="L61" s="2561"/>
      <c r="M61" s="591" t="s">
        <v>553</v>
      </c>
      <c r="N61" s="228"/>
      <c r="O61" s="78"/>
    </row>
    <row r="62" spans="1:15" x14ac:dyDescent="0.25">
      <c r="A62" s="78"/>
      <c r="B62" s="792" t="s">
        <v>443</v>
      </c>
      <c r="C62" s="662"/>
      <c r="D62" s="592" t="str">
        <f>D13</f>
        <v>Plant</v>
      </c>
      <c r="E62" s="2582"/>
      <c r="F62" s="2582"/>
      <c r="G62" s="948"/>
      <c r="H62" s="592" t="s">
        <v>494</v>
      </c>
      <c r="I62" s="2551" t="s">
        <v>495</v>
      </c>
      <c r="J62" s="2551"/>
      <c r="K62" s="2551" t="s">
        <v>496</v>
      </c>
      <c r="L62" s="2552"/>
      <c r="M62" s="591" t="s">
        <v>494</v>
      </c>
      <c r="N62" s="228"/>
      <c r="O62" s="78"/>
    </row>
    <row r="63" spans="1:15" x14ac:dyDescent="0.25">
      <c r="A63" s="78"/>
      <c r="B63" s="792" t="s">
        <v>444</v>
      </c>
      <c r="C63" s="592" t="s">
        <v>491</v>
      </c>
      <c r="D63" s="947" t="str">
        <f>D14</f>
        <v>12/31/2021</v>
      </c>
      <c r="E63" s="652" t="s">
        <v>497</v>
      </c>
      <c r="F63" s="653" t="s">
        <v>498</v>
      </c>
      <c r="G63" s="652" t="s">
        <v>499</v>
      </c>
      <c r="H63" s="592" t="str">
        <f>H14</f>
        <v>12/31/2022</v>
      </c>
      <c r="I63" s="653" t="s">
        <v>497</v>
      </c>
      <c r="J63" s="652" t="s">
        <v>498</v>
      </c>
      <c r="K63" s="652" t="s">
        <v>497</v>
      </c>
      <c r="L63" s="652" t="s">
        <v>498</v>
      </c>
      <c r="M63" s="591" t="str">
        <f>M14</f>
        <v>12/31/2023</v>
      </c>
      <c r="N63" s="228"/>
      <c r="O63" s="78"/>
    </row>
    <row r="64" spans="1:15" ht="17.25" customHeight="1" x14ac:dyDescent="0.25">
      <c r="A64" s="78"/>
      <c r="B64" s="964"/>
      <c r="C64" s="957"/>
      <c r="D64" s="957" t="s">
        <v>446</v>
      </c>
      <c r="E64" s="955" t="s">
        <v>555</v>
      </c>
      <c r="F64" s="774"/>
      <c r="G64" s="774"/>
      <c r="H64" s="774" t="s">
        <v>446</v>
      </c>
      <c r="I64" s="955" t="s">
        <v>555</v>
      </c>
      <c r="J64" s="774"/>
      <c r="K64" s="955" t="s">
        <v>555</v>
      </c>
      <c r="L64" s="958"/>
      <c r="M64" s="957" t="s">
        <v>446</v>
      </c>
      <c r="N64" s="228"/>
      <c r="O64" s="78"/>
    </row>
    <row r="65" spans="1:15" ht="17.25" customHeight="1" x14ac:dyDescent="0.25">
      <c r="A65" s="78"/>
      <c r="B65" s="506"/>
      <c r="C65" s="477"/>
      <c r="D65" s="959"/>
      <c r="E65" s="960"/>
      <c r="F65" s="538"/>
      <c r="G65" s="538"/>
      <c r="H65" s="538"/>
      <c r="I65" s="538"/>
      <c r="J65" s="538"/>
      <c r="K65" s="960"/>
      <c r="L65" s="538"/>
      <c r="M65" s="538"/>
      <c r="N65" s="228"/>
      <c r="O65" s="78"/>
    </row>
    <row r="66" spans="1:15" ht="17.25" customHeight="1" x14ac:dyDescent="0.25">
      <c r="A66" s="78"/>
      <c r="B66" s="506"/>
      <c r="C66" s="536" t="s">
        <v>529</v>
      </c>
      <c r="D66" s="478" t="s">
        <v>259</v>
      </c>
      <c r="E66" s="480" t="s">
        <v>259</v>
      </c>
      <c r="F66" s="480" t="s">
        <v>259</v>
      </c>
      <c r="G66" s="480"/>
      <c r="H66" s="480" t="s">
        <v>259</v>
      </c>
      <c r="I66" s="480"/>
      <c r="J66" s="480"/>
      <c r="K66" s="480" t="s">
        <v>259</v>
      </c>
      <c r="L66" s="480" t="s">
        <v>259</v>
      </c>
      <c r="M66" s="480" t="s">
        <v>259</v>
      </c>
      <c r="N66" s="228"/>
      <c r="O66" s="78"/>
    </row>
    <row r="67" spans="1:15" ht="17.25" customHeight="1" x14ac:dyDescent="0.25">
      <c r="A67" s="78"/>
      <c r="B67" s="506">
        <v>340</v>
      </c>
      <c r="C67" s="477" t="s">
        <v>510</v>
      </c>
      <c r="D67" s="688">
        <f>Data!B199</f>
        <v>0</v>
      </c>
      <c r="E67" s="538">
        <f>Data!C199</f>
        <v>0</v>
      </c>
      <c r="F67" s="538">
        <f>Data!D199</f>
        <v>0</v>
      </c>
      <c r="G67" s="936">
        <v>0</v>
      </c>
      <c r="H67" s="688">
        <f>SUM(D67:E67)-F67+G67</f>
        <v>0</v>
      </c>
      <c r="I67" s="936">
        <v>0</v>
      </c>
      <c r="J67" s="936">
        <v>0</v>
      </c>
      <c r="K67" s="936">
        <v>0</v>
      </c>
      <c r="L67" s="936">
        <v>0</v>
      </c>
      <c r="M67" s="688">
        <f t="shared" ref="M67:M74" si="8">H67+I67-J67+K67-L67</f>
        <v>0</v>
      </c>
      <c r="N67" s="228"/>
      <c r="O67" s="78"/>
    </row>
    <row r="68" spans="1:15" x14ac:dyDescent="0.25">
      <c r="A68" s="78"/>
      <c r="B68" s="506">
        <v>341</v>
      </c>
      <c r="C68" s="477" t="s">
        <v>511</v>
      </c>
      <c r="D68" s="478">
        <f>Data!B200</f>
        <v>0</v>
      </c>
      <c r="E68" s="480">
        <f>Data!C200</f>
        <v>0</v>
      </c>
      <c r="F68" s="480">
        <f>Data!D200</f>
        <v>0</v>
      </c>
      <c r="G68" s="937">
        <v>0</v>
      </c>
      <c r="H68" s="478">
        <f>SUM(D68:E68)-F68+G68</f>
        <v>0</v>
      </c>
      <c r="I68" s="937">
        <v>0</v>
      </c>
      <c r="J68" s="937">
        <v>0</v>
      </c>
      <c r="K68" s="937">
        <v>0</v>
      </c>
      <c r="L68" s="937">
        <v>0</v>
      </c>
      <c r="M68" s="478">
        <f t="shared" si="8"/>
        <v>0</v>
      </c>
      <c r="N68" s="228"/>
      <c r="O68" s="78"/>
    </row>
    <row r="69" spans="1:15" x14ac:dyDescent="0.25">
      <c r="A69" s="78"/>
      <c r="B69" s="506">
        <v>342</v>
      </c>
      <c r="C69" s="477" t="s">
        <v>530</v>
      </c>
      <c r="D69" s="478">
        <f>Data!B201</f>
        <v>6750</v>
      </c>
      <c r="E69" s="480">
        <f>Data!C201</f>
        <v>0</v>
      </c>
      <c r="F69" s="480">
        <f>Data!D201</f>
        <v>0</v>
      </c>
      <c r="G69" s="937">
        <v>0</v>
      </c>
      <c r="H69" s="478">
        <f t="shared" ref="H69:H74" si="9">SUM(D69:E69)-F69+G69</f>
        <v>6750</v>
      </c>
      <c r="I69" s="937">
        <v>0</v>
      </c>
      <c r="J69" s="937">
        <v>0</v>
      </c>
      <c r="K69" s="937">
        <v>0</v>
      </c>
      <c r="L69" s="937">
        <v>0</v>
      </c>
      <c r="M69" s="478">
        <f t="shared" si="8"/>
        <v>6750</v>
      </c>
      <c r="N69" s="228"/>
      <c r="O69" s="78"/>
    </row>
    <row r="70" spans="1:15" x14ac:dyDescent="0.25">
      <c r="A70" s="78"/>
      <c r="B70" s="506">
        <v>343</v>
      </c>
      <c r="C70" s="477" t="s">
        <v>531</v>
      </c>
      <c r="D70" s="478">
        <f>Data!B202</f>
        <v>359641</v>
      </c>
      <c r="E70" s="480">
        <f>Data!C202</f>
        <v>0</v>
      </c>
      <c r="F70" s="480">
        <f>Data!D202</f>
        <v>0</v>
      </c>
      <c r="G70" s="937">
        <v>0</v>
      </c>
      <c r="H70" s="478">
        <f t="shared" si="9"/>
        <v>359641</v>
      </c>
      <c r="I70" s="937">
        <v>0</v>
      </c>
      <c r="J70" s="937">
        <v>0</v>
      </c>
      <c r="K70" s="937">
        <v>274401</v>
      </c>
      <c r="L70" s="937">
        <v>0</v>
      </c>
      <c r="M70" s="478">
        <f t="shared" si="8"/>
        <v>634042</v>
      </c>
      <c r="N70" s="228"/>
      <c r="O70" s="78"/>
    </row>
    <row r="71" spans="1:15" x14ac:dyDescent="0.25">
      <c r="A71" s="78"/>
      <c r="B71" s="506">
        <v>345</v>
      </c>
      <c r="C71" s="477" t="s">
        <v>532</v>
      </c>
      <c r="D71" s="478">
        <f>Data!B203</f>
        <v>122012</v>
      </c>
      <c r="E71" s="480">
        <f>Data!C203</f>
        <v>0</v>
      </c>
      <c r="F71" s="480">
        <f>Data!D203</f>
        <v>0</v>
      </c>
      <c r="G71" s="937">
        <v>0</v>
      </c>
      <c r="H71" s="478">
        <f t="shared" si="9"/>
        <v>122012</v>
      </c>
      <c r="I71" s="937">
        <v>0</v>
      </c>
      <c r="J71" s="937">
        <v>0</v>
      </c>
      <c r="K71" s="937">
        <v>0</v>
      </c>
      <c r="L71" s="937">
        <v>0</v>
      </c>
      <c r="M71" s="478">
        <f t="shared" si="8"/>
        <v>122012</v>
      </c>
      <c r="N71" s="228"/>
      <c r="O71" s="78"/>
    </row>
    <row r="72" spans="1:15" x14ac:dyDescent="0.25">
      <c r="A72" s="78"/>
      <c r="B72" s="506">
        <v>346</v>
      </c>
      <c r="C72" s="477" t="s">
        <v>533</v>
      </c>
      <c r="D72" s="478">
        <f>Data!B204</f>
        <v>0</v>
      </c>
      <c r="E72" s="480">
        <f>Data!C204</f>
        <v>0</v>
      </c>
      <c r="F72" s="480">
        <f>Data!D204</f>
        <v>0</v>
      </c>
      <c r="G72" s="937">
        <v>0</v>
      </c>
      <c r="H72" s="478">
        <f t="shared" si="9"/>
        <v>0</v>
      </c>
      <c r="I72" s="937">
        <v>0</v>
      </c>
      <c r="J72" s="937">
        <v>0</v>
      </c>
      <c r="K72" s="937">
        <v>0</v>
      </c>
      <c r="L72" s="937">
        <v>0</v>
      </c>
      <c r="M72" s="478">
        <f t="shared" si="8"/>
        <v>0</v>
      </c>
      <c r="N72" s="228"/>
      <c r="O72" s="78"/>
    </row>
    <row r="73" spans="1:15" x14ac:dyDescent="0.25">
      <c r="A73" s="78"/>
      <c r="B73" s="506">
        <v>348</v>
      </c>
      <c r="C73" s="477" t="s">
        <v>255</v>
      </c>
      <c r="D73" s="478">
        <f>Data!B205</f>
        <v>38925</v>
      </c>
      <c r="E73" s="480">
        <f>Data!C205</f>
        <v>0</v>
      </c>
      <c r="F73" s="480">
        <f>Data!D205</f>
        <v>0</v>
      </c>
      <c r="G73" s="937">
        <v>0</v>
      </c>
      <c r="H73" s="478">
        <f t="shared" si="9"/>
        <v>38925</v>
      </c>
      <c r="I73" s="937">
        <v>0</v>
      </c>
      <c r="J73" s="937">
        <v>0</v>
      </c>
      <c r="K73" s="937">
        <v>0</v>
      </c>
      <c r="L73" s="937">
        <v>0</v>
      </c>
      <c r="M73" s="478">
        <f t="shared" si="8"/>
        <v>38925</v>
      </c>
      <c r="N73" s="228"/>
      <c r="O73" s="78"/>
    </row>
    <row r="74" spans="1:15" x14ac:dyDescent="0.25">
      <c r="A74" s="78"/>
      <c r="B74" s="506">
        <v>349</v>
      </c>
      <c r="C74" s="477" t="s">
        <v>534</v>
      </c>
      <c r="D74" s="479">
        <f>Data!B206</f>
        <v>0</v>
      </c>
      <c r="E74" s="690">
        <f>Data!C206</f>
        <v>0</v>
      </c>
      <c r="F74" s="690">
        <f>Data!D206</f>
        <v>0</v>
      </c>
      <c r="G74" s="937">
        <v>0</v>
      </c>
      <c r="H74" s="478">
        <f t="shared" si="9"/>
        <v>0</v>
      </c>
      <c r="I74" s="937">
        <v>0</v>
      </c>
      <c r="J74" s="937">
        <v>0</v>
      </c>
      <c r="K74" s="937">
        <v>0</v>
      </c>
      <c r="L74" s="937">
        <v>0</v>
      </c>
      <c r="M74" s="478">
        <f t="shared" si="8"/>
        <v>0</v>
      </c>
      <c r="N74" s="228"/>
      <c r="O74" s="78"/>
    </row>
    <row r="75" spans="1:15" ht="15.75" customHeight="1" x14ac:dyDescent="0.25">
      <c r="A75" s="78"/>
      <c r="B75" s="506"/>
      <c r="C75" s="477"/>
      <c r="D75" s="519"/>
      <c r="E75" s="477"/>
      <c r="F75" s="477"/>
      <c r="G75" s="477"/>
      <c r="H75" s="938"/>
      <c r="I75" s="477"/>
      <c r="J75" s="477"/>
      <c r="K75" s="477"/>
      <c r="L75" s="477"/>
      <c r="M75" s="938"/>
      <c r="N75" s="228"/>
      <c r="O75" s="78"/>
    </row>
    <row r="76" spans="1:15" ht="15.75" customHeight="1" x14ac:dyDescent="0.25">
      <c r="A76" s="78"/>
      <c r="B76" s="506"/>
      <c r="C76" s="477" t="s">
        <v>535</v>
      </c>
      <c r="D76" s="703">
        <f t="shared" ref="D76:M76" si="10">SUM(D67:D74)</f>
        <v>527328</v>
      </c>
      <c r="E76" s="703">
        <f t="shared" si="10"/>
        <v>0</v>
      </c>
      <c r="F76" s="703">
        <f t="shared" si="10"/>
        <v>0</v>
      </c>
      <c r="G76" s="703">
        <f t="shared" si="10"/>
        <v>0</v>
      </c>
      <c r="H76" s="703">
        <f t="shared" si="10"/>
        <v>527328</v>
      </c>
      <c r="I76" s="703">
        <f t="shared" si="10"/>
        <v>0</v>
      </c>
      <c r="J76" s="703">
        <f t="shared" si="10"/>
        <v>0</v>
      </c>
      <c r="K76" s="703">
        <f t="shared" si="10"/>
        <v>274401</v>
      </c>
      <c r="L76" s="703">
        <f t="shared" si="10"/>
        <v>0</v>
      </c>
      <c r="M76" s="703">
        <f t="shared" si="10"/>
        <v>801729</v>
      </c>
      <c r="N76" s="228"/>
      <c r="O76" s="78"/>
    </row>
    <row r="77" spans="1:15" x14ac:dyDescent="0.25">
      <c r="A77" s="78"/>
      <c r="B77" s="506"/>
      <c r="C77" s="477"/>
      <c r="D77" s="519" t="s">
        <v>508</v>
      </c>
      <c r="E77" s="477" t="s">
        <v>508</v>
      </c>
      <c r="F77" s="477" t="s">
        <v>508</v>
      </c>
      <c r="G77" s="477"/>
      <c r="H77" s="477" t="s">
        <v>508</v>
      </c>
      <c r="I77" s="477"/>
      <c r="J77" s="477"/>
      <c r="K77" s="477" t="s">
        <v>508</v>
      </c>
      <c r="L77" s="477" t="s">
        <v>508</v>
      </c>
      <c r="M77" s="477" t="s">
        <v>508</v>
      </c>
      <c r="N77" s="228"/>
      <c r="O77" s="78"/>
    </row>
    <row r="78" spans="1:15" x14ac:dyDescent="0.25">
      <c r="A78" s="78"/>
      <c r="B78" s="506"/>
      <c r="C78" s="536" t="s">
        <v>536</v>
      </c>
      <c r="D78" s="478" t="s">
        <v>259</v>
      </c>
      <c r="E78" s="480" t="s">
        <v>259</v>
      </c>
      <c r="F78" s="480" t="s">
        <v>259</v>
      </c>
      <c r="G78" s="480"/>
      <c r="H78" s="480" t="s">
        <v>259</v>
      </c>
      <c r="I78" s="480"/>
      <c r="J78" s="480"/>
      <c r="K78" s="480" t="s">
        <v>259</v>
      </c>
      <c r="L78" s="480" t="s">
        <v>259</v>
      </c>
      <c r="M78" s="480" t="s">
        <v>259</v>
      </c>
      <c r="N78" s="228"/>
      <c r="O78" s="78"/>
    </row>
    <row r="79" spans="1:15" x14ac:dyDescent="0.25">
      <c r="A79" s="78"/>
      <c r="B79" s="506">
        <v>389</v>
      </c>
      <c r="C79" s="477" t="s">
        <v>510</v>
      </c>
      <c r="D79" s="688">
        <f>Data!B207</f>
        <v>0</v>
      </c>
      <c r="E79" s="538">
        <f>Data!C207</f>
        <v>0</v>
      </c>
      <c r="F79" s="538">
        <f>Data!D207</f>
        <v>0</v>
      </c>
      <c r="G79" s="936">
        <v>0</v>
      </c>
      <c r="H79" s="688">
        <f>SUM(D79:E79)-F79+G79</f>
        <v>0</v>
      </c>
      <c r="I79" s="936">
        <v>0</v>
      </c>
      <c r="J79" s="936">
        <v>0</v>
      </c>
      <c r="K79" s="936">
        <v>0</v>
      </c>
      <c r="L79" s="936">
        <v>0</v>
      </c>
      <c r="M79" s="688">
        <f>H79+I79-J79+K79-L79</f>
        <v>0</v>
      </c>
      <c r="N79" s="228"/>
      <c r="O79" s="78"/>
    </row>
    <row r="80" spans="1:15" x14ac:dyDescent="0.25">
      <c r="A80" s="78"/>
      <c r="B80" s="506">
        <v>390</v>
      </c>
      <c r="C80" s="477" t="s">
        <v>511</v>
      </c>
      <c r="D80" s="478">
        <f>Data!B208</f>
        <v>0</v>
      </c>
      <c r="E80" s="480">
        <f>Data!C208</f>
        <v>0</v>
      </c>
      <c r="F80" s="480">
        <f>Data!D208</f>
        <v>0</v>
      </c>
      <c r="G80" s="937">
        <v>0</v>
      </c>
      <c r="H80" s="478">
        <f>SUM(D80:E80)-F80+G80</f>
        <v>0</v>
      </c>
      <c r="I80" s="937">
        <v>0</v>
      </c>
      <c r="J80" s="937">
        <v>0</v>
      </c>
      <c r="K80" s="937">
        <v>0</v>
      </c>
      <c r="L80" s="937">
        <v>0</v>
      </c>
      <c r="M80" s="478">
        <f>H80+I80-J80+K80-L80</f>
        <v>0</v>
      </c>
      <c r="N80" s="228"/>
      <c r="O80" s="78"/>
    </row>
    <row r="81" spans="1:15" x14ac:dyDescent="0.25">
      <c r="A81" s="78"/>
      <c r="B81" s="506">
        <v>391</v>
      </c>
      <c r="C81" s="477" t="s">
        <v>537</v>
      </c>
      <c r="D81" s="478">
        <f>Data!B209</f>
        <v>0</v>
      </c>
      <c r="E81" s="480">
        <f>Data!C209</f>
        <v>0</v>
      </c>
      <c r="F81" s="480">
        <f>Data!D209</f>
        <v>0</v>
      </c>
      <c r="G81" s="937">
        <v>0</v>
      </c>
      <c r="H81" s="478">
        <f t="shared" ref="H81:H90" si="11">SUM(D81:E81)-F81+G81</f>
        <v>0</v>
      </c>
      <c r="I81" s="937">
        <v>0</v>
      </c>
      <c r="J81" s="937">
        <v>0</v>
      </c>
      <c r="K81" s="937">
        <v>0</v>
      </c>
      <c r="L81" s="937">
        <v>0</v>
      </c>
      <c r="M81" s="478">
        <f t="shared" ref="M81:M87" si="12">H81+I81-J81+K81-L81</f>
        <v>0</v>
      </c>
      <c r="N81" s="228"/>
      <c r="O81" s="78"/>
    </row>
    <row r="82" spans="1:15" x14ac:dyDescent="0.25">
      <c r="A82" s="78"/>
      <c r="B82" s="506">
        <v>391.1</v>
      </c>
      <c r="C82" s="477" t="s">
        <v>538</v>
      </c>
      <c r="D82" s="478">
        <f>Data!B210</f>
        <v>0</v>
      </c>
      <c r="E82" s="480">
        <f>Data!C210</f>
        <v>0</v>
      </c>
      <c r="F82" s="480">
        <f>Data!D210</f>
        <v>0</v>
      </c>
      <c r="G82" s="937">
        <v>0</v>
      </c>
      <c r="H82" s="478">
        <f t="shared" si="11"/>
        <v>0</v>
      </c>
      <c r="I82" s="937">
        <v>0</v>
      </c>
      <c r="J82" s="937">
        <v>0</v>
      </c>
      <c r="K82" s="937">
        <v>0</v>
      </c>
      <c r="L82" s="937">
        <v>0</v>
      </c>
      <c r="M82" s="478">
        <f t="shared" si="12"/>
        <v>0</v>
      </c>
      <c r="N82" s="228"/>
      <c r="O82" s="78"/>
    </row>
    <row r="83" spans="1:15" x14ac:dyDescent="0.25">
      <c r="A83" s="78"/>
      <c r="B83" s="506">
        <v>392</v>
      </c>
      <c r="C83" s="477" t="s">
        <v>539</v>
      </c>
      <c r="D83" s="478">
        <f>Data!B211</f>
        <v>0</v>
      </c>
      <c r="E83" s="480">
        <f>Data!C211</f>
        <v>0</v>
      </c>
      <c r="F83" s="480">
        <f>Data!D211</f>
        <v>0</v>
      </c>
      <c r="G83" s="937">
        <v>0</v>
      </c>
      <c r="H83" s="478">
        <f t="shared" si="11"/>
        <v>0</v>
      </c>
      <c r="I83" s="937">
        <v>0</v>
      </c>
      <c r="J83" s="937">
        <v>0</v>
      </c>
      <c r="K83" s="937">
        <v>0</v>
      </c>
      <c r="L83" s="937">
        <v>0</v>
      </c>
      <c r="M83" s="478">
        <f t="shared" si="12"/>
        <v>0</v>
      </c>
      <c r="N83" s="228"/>
      <c r="O83" s="78"/>
    </row>
    <row r="84" spans="1:15" x14ac:dyDescent="0.25">
      <c r="A84" s="78"/>
      <c r="B84" s="506">
        <v>393</v>
      </c>
      <c r="C84" s="477" t="s">
        <v>540</v>
      </c>
      <c r="D84" s="478">
        <f>Data!B212</f>
        <v>0</v>
      </c>
      <c r="E84" s="480">
        <f>Data!C212</f>
        <v>0</v>
      </c>
      <c r="F84" s="480">
        <f>Data!D212</f>
        <v>0</v>
      </c>
      <c r="G84" s="937">
        <v>0</v>
      </c>
      <c r="H84" s="478">
        <f t="shared" si="11"/>
        <v>0</v>
      </c>
      <c r="I84" s="937">
        <v>0</v>
      </c>
      <c r="J84" s="937">
        <v>0</v>
      </c>
      <c r="K84" s="937">
        <v>0</v>
      </c>
      <c r="L84" s="937">
        <v>0</v>
      </c>
      <c r="M84" s="478">
        <f t="shared" si="12"/>
        <v>0</v>
      </c>
      <c r="N84" s="228"/>
      <c r="O84" s="78"/>
    </row>
    <row r="85" spans="1:15" x14ac:dyDescent="0.25">
      <c r="A85" s="78"/>
      <c r="B85" s="506">
        <v>394</v>
      </c>
      <c r="C85" s="477" t="s">
        <v>541</v>
      </c>
      <c r="D85" s="478">
        <f>Data!B213</f>
        <v>0</v>
      </c>
      <c r="E85" s="480">
        <f>Data!C213</f>
        <v>0</v>
      </c>
      <c r="F85" s="480">
        <f>Data!D213</f>
        <v>0</v>
      </c>
      <c r="G85" s="937">
        <v>0</v>
      </c>
      <c r="H85" s="478">
        <f t="shared" si="11"/>
        <v>0</v>
      </c>
      <c r="I85" s="937">
        <v>0</v>
      </c>
      <c r="J85" s="937">
        <v>0</v>
      </c>
      <c r="K85" s="937">
        <v>0</v>
      </c>
      <c r="L85" s="937">
        <v>0</v>
      </c>
      <c r="M85" s="478">
        <f t="shared" si="12"/>
        <v>0</v>
      </c>
      <c r="N85" s="228"/>
      <c r="O85" s="78"/>
    </row>
    <row r="86" spans="1:15" x14ac:dyDescent="0.25">
      <c r="A86" s="78"/>
      <c r="B86" s="506">
        <v>395</v>
      </c>
      <c r="C86" s="477" t="s">
        <v>542</v>
      </c>
      <c r="D86" s="478">
        <f>Data!B214</f>
        <v>0</v>
      </c>
      <c r="E86" s="480">
        <f>Data!C214</f>
        <v>0</v>
      </c>
      <c r="F86" s="480">
        <f>Data!D214</f>
        <v>0</v>
      </c>
      <c r="G86" s="937">
        <v>0</v>
      </c>
      <c r="H86" s="478">
        <f t="shared" si="11"/>
        <v>0</v>
      </c>
      <c r="I86" s="937">
        <v>0</v>
      </c>
      <c r="J86" s="937">
        <v>0</v>
      </c>
      <c r="K86" s="937">
        <v>0</v>
      </c>
      <c r="L86" s="937">
        <v>0</v>
      </c>
      <c r="M86" s="478">
        <f t="shared" si="12"/>
        <v>0</v>
      </c>
      <c r="N86" s="228"/>
      <c r="O86" s="78"/>
    </row>
    <row r="87" spans="1:15" x14ac:dyDescent="0.25">
      <c r="A87" s="78"/>
      <c r="B87" s="506">
        <v>396</v>
      </c>
      <c r="C87" s="477" t="s">
        <v>543</v>
      </c>
      <c r="D87" s="478">
        <f>Data!B215</f>
        <v>0</v>
      </c>
      <c r="E87" s="480">
        <f>Data!C215</f>
        <v>0</v>
      </c>
      <c r="F87" s="480">
        <f>Data!D215</f>
        <v>0</v>
      </c>
      <c r="G87" s="937">
        <v>0</v>
      </c>
      <c r="H87" s="478">
        <f t="shared" si="11"/>
        <v>0</v>
      </c>
      <c r="I87" s="937">
        <v>0</v>
      </c>
      <c r="J87" s="937">
        <v>0</v>
      </c>
      <c r="K87" s="937">
        <v>0</v>
      </c>
      <c r="L87" s="937">
        <v>0</v>
      </c>
      <c r="M87" s="478">
        <f t="shared" si="12"/>
        <v>0</v>
      </c>
      <c r="N87" s="228"/>
      <c r="O87" s="78"/>
    </row>
    <row r="88" spans="1:15" x14ac:dyDescent="0.25">
      <c r="A88" s="78"/>
      <c r="B88" s="506">
        <v>397</v>
      </c>
      <c r="C88" s="477" t="s">
        <v>544</v>
      </c>
      <c r="D88" s="478">
        <f>Data!B216</f>
        <v>0</v>
      </c>
      <c r="E88" s="480">
        <f>Data!C216</f>
        <v>0</v>
      </c>
      <c r="F88" s="480">
        <f>Data!D216</f>
        <v>0</v>
      </c>
      <c r="G88" s="937">
        <v>0</v>
      </c>
      <c r="H88" s="478">
        <f t="shared" si="11"/>
        <v>0</v>
      </c>
      <c r="I88" s="937">
        <v>0</v>
      </c>
      <c r="J88" s="937">
        <v>0</v>
      </c>
      <c r="K88" s="937">
        <v>0</v>
      </c>
      <c r="L88" s="937">
        <v>0</v>
      </c>
      <c r="M88" s="478">
        <f>H88+I88-J88+K88-L88</f>
        <v>0</v>
      </c>
      <c r="N88" s="228"/>
      <c r="O88" s="78"/>
    </row>
    <row r="89" spans="1:15" x14ac:dyDescent="0.25">
      <c r="A89" s="78"/>
      <c r="B89" s="506">
        <v>397.1</v>
      </c>
      <c r="C89" s="477" t="s">
        <v>545</v>
      </c>
      <c r="D89" s="478">
        <f>Data!B217</f>
        <v>0</v>
      </c>
      <c r="E89" s="480">
        <f>Data!C217</f>
        <v>0</v>
      </c>
      <c r="F89" s="480">
        <f>Data!D217</f>
        <v>0</v>
      </c>
      <c r="G89" s="937">
        <v>0</v>
      </c>
      <c r="H89" s="478">
        <f t="shared" si="11"/>
        <v>0</v>
      </c>
      <c r="I89" s="937">
        <v>0</v>
      </c>
      <c r="J89" s="937">
        <v>0</v>
      </c>
      <c r="K89" s="937">
        <v>0</v>
      </c>
      <c r="L89" s="937">
        <v>0</v>
      </c>
      <c r="M89" s="478">
        <f>H89+I89-J89+K89-L89</f>
        <v>0</v>
      </c>
      <c r="N89" s="228"/>
      <c r="O89" s="78"/>
    </row>
    <row r="90" spans="1:15" x14ac:dyDescent="0.25">
      <c r="A90" s="78"/>
      <c r="B90" s="506">
        <v>398</v>
      </c>
      <c r="C90" s="477" t="s">
        <v>546</v>
      </c>
      <c r="D90" s="479">
        <f>Data!B218</f>
        <v>0</v>
      </c>
      <c r="E90" s="690">
        <f>Data!C218</f>
        <v>0</v>
      </c>
      <c r="F90" s="690">
        <f>Data!D218</f>
        <v>0</v>
      </c>
      <c r="G90" s="937">
        <v>0</v>
      </c>
      <c r="H90" s="479">
        <f t="shared" si="11"/>
        <v>0</v>
      </c>
      <c r="I90" s="937">
        <v>0</v>
      </c>
      <c r="J90" s="937">
        <v>0</v>
      </c>
      <c r="K90" s="937">
        <v>0</v>
      </c>
      <c r="L90" s="937">
        <v>0</v>
      </c>
      <c r="M90" s="479">
        <f>H90+I90-J90+K90-L90</f>
        <v>0</v>
      </c>
      <c r="N90" s="228"/>
      <c r="O90" s="78"/>
    </row>
    <row r="91" spans="1:15" ht="15.75" customHeight="1" x14ac:dyDescent="0.25">
      <c r="A91" s="78"/>
      <c r="B91" s="506"/>
      <c r="C91" s="477"/>
      <c r="D91" s="477"/>
      <c r="E91" s="477"/>
      <c r="F91" s="477"/>
      <c r="G91" s="477"/>
      <c r="H91" s="477"/>
      <c r="I91" s="477"/>
      <c r="J91" s="477"/>
      <c r="K91" s="477"/>
      <c r="L91" s="477"/>
      <c r="M91" s="477"/>
      <c r="N91" s="228"/>
      <c r="O91" s="78"/>
    </row>
    <row r="92" spans="1:15" ht="15.75" customHeight="1" x14ac:dyDescent="0.25">
      <c r="A92" s="78"/>
      <c r="B92" s="929"/>
      <c r="C92" s="477" t="s">
        <v>547</v>
      </c>
      <c r="D92" s="688">
        <f t="shared" ref="D92:M92" si="13">SUM(D79:D90)</f>
        <v>0</v>
      </c>
      <c r="E92" s="688">
        <f t="shared" si="13"/>
        <v>0</v>
      </c>
      <c r="F92" s="688">
        <f t="shared" si="13"/>
        <v>0</v>
      </c>
      <c r="G92" s="688">
        <f>SUM(G79:G90)</f>
        <v>0</v>
      </c>
      <c r="H92" s="688">
        <f t="shared" si="13"/>
        <v>0</v>
      </c>
      <c r="I92" s="688">
        <f t="shared" si="13"/>
        <v>0</v>
      </c>
      <c r="J92" s="688">
        <f t="shared" si="13"/>
        <v>0</v>
      </c>
      <c r="K92" s="688">
        <f t="shared" si="13"/>
        <v>0</v>
      </c>
      <c r="L92" s="688">
        <f t="shared" si="13"/>
        <v>0</v>
      </c>
      <c r="M92" s="688">
        <f t="shared" si="13"/>
        <v>0</v>
      </c>
      <c r="N92" s="228"/>
      <c r="O92" s="78"/>
    </row>
    <row r="93" spans="1:15" ht="15.75" customHeight="1" x14ac:dyDescent="0.25">
      <c r="A93" s="78"/>
      <c r="B93" s="929"/>
      <c r="C93" s="477"/>
      <c r="D93" s="965" t="s">
        <v>508</v>
      </c>
      <c r="E93" s="965" t="s">
        <v>508</v>
      </c>
      <c r="F93" s="965" t="s">
        <v>508</v>
      </c>
      <c r="G93" s="965" t="s">
        <v>508</v>
      </c>
      <c r="H93" s="965" t="s">
        <v>508</v>
      </c>
      <c r="I93" s="965"/>
      <c r="J93" s="965"/>
      <c r="K93" s="965" t="s">
        <v>508</v>
      </c>
      <c r="L93" s="965" t="s">
        <v>508</v>
      </c>
      <c r="M93" s="965" t="s">
        <v>508</v>
      </c>
      <c r="N93" s="228"/>
      <c r="O93" s="78"/>
    </row>
    <row r="94" spans="1:15" ht="13.8" thickBot="1" x14ac:dyDescent="0.3">
      <c r="A94" s="78"/>
      <c r="B94" s="929"/>
      <c r="C94" s="477" t="s">
        <v>557</v>
      </c>
      <c r="D94" s="539">
        <f>ROUND(SUM(D21+D32+D42+D51+D76+D92),0)</f>
        <v>527328</v>
      </c>
      <c r="E94" s="539">
        <f t="shared" ref="E94:M94" si="14">SUM(E21+E32+E42+E51+E76+E92)</f>
        <v>0</v>
      </c>
      <c r="F94" s="539">
        <f t="shared" si="14"/>
        <v>0</v>
      </c>
      <c r="G94" s="539">
        <f t="shared" si="14"/>
        <v>0</v>
      </c>
      <c r="H94" s="539">
        <f t="shared" si="14"/>
        <v>527328</v>
      </c>
      <c r="I94" s="539">
        <f t="shared" si="14"/>
        <v>0</v>
      </c>
      <c r="J94" s="539">
        <f t="shared" si="14"/>
        <v>0</v>
      </c>
      <c r="K94" s="539">
        <f t="shared" si="14"/>
        <v>274401</v>
      </c>
      <c r="L94" s="539">
        <f t="shared" si="14"/>
        <v>0</v>
      </c>
      <c r="M94" s="539">
        <f t="shared" si="14"/>
        <v>801729</v>
      </c>
      <c r="N94" s="228"/>
      <c r="O94" s="78"/>
    </row>
    <row r="95" spans="1:15" ht="10.95" customHeight="1" thickTop="1" x14ac:dyDescent="0.25">
      <c r="A95" s="78"/>
      <c r="B95" s="929"/>
      <c r="C95" s="477"/>
      <c r="D95" s="538"/>
      <c r="E95" s="538"/>
      <c r="F95" s="538"/>
      <c r="G95" s="538"/>
      <c r="H95" s="538"/>
      <c r="I95" s="538"/>
      <c r="J95" s="538"/>
      <c r="K95" s="538"/>
      <c r="L95" s="538"/>
      <c r="M95" s="538"/>
      <c r="N95" s="228"/>
      <c r="O95" s="78"/>
    </row>
    <row r="96" spans="1:15" ht="12.75" customHeight="1" x14ac:dyDescent="0.25">
      <c r="A96" s="78"/>
      <c r="B96" s="506"/>
      <c r="C96" s="205"/>
      <c r="D96" s="531"/>
      <c r="E96" s="477"/>
      <c r="F96" s="477"/>
      <c r="G96" s="477"/>
      <c r="H96" s="477"/>
      <c r="I96" s="477"/>
      <c r="J96" s="477"/>
      <c r="K96" s="477"/>
      <c r="L96" s="477"/>
      <c r="M96" s="477"/>
      <c r="N96" s="228"/>
      <c r="O96" s="78"/>
    </row>
    <row r="97" spans="1:15" ht="12.75" customHeight="1" x14ac:dyDescent="0.25">
      <c r="A97" s="78"/>
      <c r="B97" s="378"/>
      <c r="C97" s="205"/>
      <c r="D97" s="531"/>
      <c r="E97" s="477"/>
      <c r="F97" s="477"/>
      <c r="G97" s="477"/>
      <c r="H97" s="477"/>
      <c r="I97" s="477"/>
      <c r="J97" s="477"/>
      <c r="K97" s="786"/>
      <c r="L97" s="935" t="s">
        <v>908</v>
      </c>
      <c r="M97" s="786"/>
      <c r="N97" s="228"/>
      <c r="O97" s="78"/>
    </row>
    <row r="98" spans="1:15" ht="12.75" customHeight="1" x14ac:dyDescent="0.25">
      <c r="A98" s="78"/>
      <c r="B98" s="506"/>
      <c r="C98" s="481"/>
      <c r="D98" s="531"/>
      <c r="E98" s="531"/>
      <c r="F98" s="531"/>
      <c r="G98" s="531"/>
      <c r="H98" s="531"/>
      <c r="I98" s="531"/>
      <c r="J98" s="531"/>
      <c r="K98" s="2573"/>
      <c r="L98" s="2574"/>
      <c r="M98" s="2575"/>
      <c r="N98" s="228"/>
      <c r="O98" s="78"/>
    </row>
    <row r="99" spans="1:15" ht="12.75" customHeight="1" x14ac:dyDescent="0.25">
      <c r="A99" s="78"/>
      <c r="B99" s="633"/>
      <c r="C99" s="477"/>
      <c r="D99" s="531"/>
      <c r="E99" s="531"/>
      <c r="F99" s="531"/>
      <c r="G99" s="531"/>
      <c r="H99" s="531"/>
      <c r="I99" s="531"/>
      <c r="J99" s="531"/>
      <c r="K99" s="2576"/>
      <c r="L99" s="2577"/>
      <c r="M99" s="2578"/>
      <c r="N99" s="228"/>
      <c r="O99" s="78"/>
    </row>
    <row r="100" spans="1:15" ht="12.75" customHeight="1" x14ac:dyDescent="0.25">
      <c r="A100" s="78"/>
      <c r="B100" s="633"/>
      <c r="C100" s="507"/>
      <c r="D100" s="531"/>
      <c r="E100" s="531"/>
      <c r="F100" s="531"/>
      <c r="G100" s="531"/>
      <c r="H100" s="531"/>
      <c r="I100" s="531"/>
      <c r="J100" s="531"/>
      <c r="K100" s="205"/>
      <c r="L100" s="205"/>
      <c r="M100" s="205"/>
      <c r="N100" s="228"/>
      <c r="O100" s="78"/>
    </row>
    <row r="101" spans="1:15" x14ac:dyDescent="0.25">
      <c r="A101" s="78"/>
      <c r="B101" s="2465" t="s">
        <v>1232</v>
      </c>
      <c r="C101" s="2360"/>
      <c r="D101" s="2360"/>
      <c r="E101" s="2360"/>
      <c r="F101" s="2360"/>
      <c r="G101" s="2360"/>
      <c r="H101" s="2360"/>
      <c r="I101" s="2360"/>
      <c r="J101" s="2360"/>
      <c r="K101" s="2360"/>
      <c r="L101" s="2360"/>
      <c r="M101" s="2360"/>
      <c r="N101" s="2466"/>
      <c r="O101" s="78"/>
    </row>
    <row r="102" spans="1:15" x14ac:dyDescent="0.25">
      <c r="A102" s="78"/>
      <c r="B102" s="2465"/>
      <c r="C102" s="2360"/>
      <c r="D102" s="2360"/>
      <c r="E102" s="2360"/>
      <c r="F102" s="2360"/>
      <c r="G102" s="2360"/>
      <c r="H102" s="2360"/>
      <c r="I102" s="2360"/>
      <c r="J102" s="2360"/>
      <c r="K102" s="2360"/>
      <c r="L102" s="2360"/>
      <c r="M102" s="2360"/>
      <c r="N102" s="2466"/>
      <c r="O102" s="78"/>
    </row>
    <row r="103" spans="1:15" x14ac:dyDescent="0.25">
      <c r="A103" s="78"/>
      <c r="B103" s="378"/>
      <c r="C103" s="2542" t="s">
        <v>1536</v>
      </c>
      <c r="D103" s="2543"/>
      <c r="E103" s="2543"/>
      <c r="F103" s="2543"/>
      <c r="G103" s="2543"/>
      <c r="H103" s="2543"/>
      <c r="I103" s="2543"/>
      <c r="J103" s="2543"/>
      <c r="K103" s="2543"/>
      <c r="L103" s="2543"/>
      <c r="M103" s="2544"/>
      <c r="N103" s="228"/>
      <c r="O103" s="78"/>
    </row>
    <row r="104" spans="1:15" x14ac:dyDescent="0.25">
      <c r="A104" s="78"/>
      <c r="B104" s="378"/>
      <c r="C104" s="2545"/>
      <c r="D104" s="2546"/>
      <c r="E104" s="2546"/>
      <c r="F104" s="2546"/>
      <c r="G104" s="2546"/>
      <c r="H104" s="2546"/>
      <c r="I104" s="2546"/>
      <c r="J104" s="2546"/>
      <c r="K104" s="2546"/>
      <c r="L104" s="2546"/>
      <c r="M104" s="2547"/>
      <c r="N104" s="228"/>
      <c r="O104" s="78"/>
    </row>
    <row r="105" spans="1:15" x14ac:dyDescent="0.25">
      <c r="A105" s="78"/>
      <c r="B105" s="378"/>
      <c r="C105" s="2545"/>
      <c r="D105" s="2546"/>
      <c r="E105" s="2546"/>
      <c r="F105" s="2546"/>
      <c r="G105" s="2546"/>
      <c r="H105" s="2546"/>
      <c r="I105" s="2546"/>
      <c r="J105" s="2546"/>
      <c r="K105" s="2546"/>
      <c r="L105" s="2546"/>
      <c r="M105" s="2547"/>
      <c r="N105" s="228"/>
      <c r="O105" s="78"/>
    </row>
    <row r="106" spans="1:15" x14ac:dyDescent="0.25">
      <c r="A106" s="78"/>
      <c r="B106" s="378"/>
      <c r="C106" s="2545"/>
      <c r="D106" s="2546"/>
      <c r="E106" s="2546"/>
      <c r="F106" s="2546"/>
      <c r="G106" s="2546"/>
      <c r="H106" s="2546"/>
      <c r="I106" s="2546"/>
      <c r="J106" s="2546"/>
      <c r="K106" s="2546"/>
      <c r="L106" s="2546"/>
      <c r="M106" s="2547"/>
      <c r="N106" s="228"/>
      <c r="O106" s="78"/>
    </row>
    <row r="107" spans="1:15" x14ac:dyDescent="0.25">
      <c r="A107" s="78"/>
      <c r="B107" s="378"/>
      <c r="C107" s="2545"/>
      <c r="D107" s="2546"/>
      <c r="E107" s="2546"/>
      <c r="F107" s="2546"/>
      <c r="G107" s="2546"/>
      <c r="H107" s="2546"/>
      <c r="I107" s="2546"/>
      <c r="J107" s="2546"/>
      <c r="K107" s="2546"/>
      <c r="L107" s="2546"/>
      <c r="M107" s="2547"/>
      <c r="N107" s="228"/>
      <c r="O107" s="78"/>
    </row>
    <row r="108" spans="1:15" x14ac:dyDescent="0.25">
      <c r="A108" s="78"/>
      <c r="B108" s="378"/>
      <c r="C108" s="2545"/>
      <c r="D108" s="2546"/>
      <c r="E108" s="2546"/>
      <c r="F108" s="2546"/>
      <c r="G108" s="2546"/>
      <c r="H108" s="2546"/>
      <c r="I108" s="2546"/>
      <c r="J108" s="2546"/>
      <c r="K108" s="2546"/>
      <c r="L108" s="2546"/>
      <c r="M108" s="2547"/>
      <c r="N108" s="228"/>
      <c r="O108" s="78"/>
    </row>
    <row r="109" spans="1:15" x14ac:dyDescent="0.25">
      <c r="A109" s="78"/>
      <c r="B109" s="378"/>
      <c r="C109" s="2545"/>
      <c r="D109" s="2546"/>
      <c r="E109" s="2546"/>
      <c r="F109" s="2546"/>
      <c r="G109" s="2546"/>
      <c r="H109" s="2546"/>
      <c r="I109" s="2546"/>
      <c r="J109" s="2546"/>
      <c r="K109" s="2546"/>
      <c r="L109" s="2546"/>
      <c r="M109" s="2547"/>
      <c r="N109" s="228"/>
      <c r="O109" s="78"/>
    </row>
    <row r="110" spans="1:15" x14ac:dyDescent="0.25">
      <c r="A110" s="78"/>
      <c r="B110" s="378"/>
      <c r="C110" s="2545"/>
      <c r="D110" s="2546"/>
      <c r="E110" s="2546"/>
      <c r="F110" s="2546"/>
      <c r="G110" s="2546"/>
      <c r="H110" s="2546"/>
      <c r="I110" s="2546"/>
      <c r="J110" s="2546"/>
      <c r="K110" s="2546"/>
      <c r="L110" s="2546"/>
      <c r="M110" s="2547"/>
      <c r="N110" s="228"/>
      <c r="O110" s="78"/>
    </row>
    <row r="111" spans="1:15" x14ac:dyDescent="0.25">
      <c r="A111" s="78"/>
      <c r="B111" s="378"/>
      <c r="C111" s="2545"/>
      <c r="D111" s="2546"/>
      <c r="E111" s="2546"/>
      <c r="F111" s="2546"/>
      <c r="G111" s="2546"/>
      <c r="H111" s="2546"/>
      <c r="I111" s="2546"/>
      <c r="J111" s="2546"/>
      <c r="K111" s="2546"/>
      <c r="L111" s="2546"/>
      <c r="M111" s="2547"/>
      <c r="N111" s="228"/>
      <c r="O111" s="78"/>
    </row>
    <row r="112" spans="1:15" x14ac:dyDescent="0.25">
      <c r="A112" s="78"/>
      <c r="B112" s="378"/>
      <c r="C112" s="2545"/>
      <c r="D112" s="2546"/>
      <c r="E112" s="2546"/>
      <c r="F112" s="2546"/>
      <c r="G112" s="2546"/>
      <c r="H112" s="2546"/>
      <c r="I112" s="2546"/>
      <c r="J112" s="2546"/>
      <c r="K112" s="2546"/>
      <c r="L112" s="2546"/>
      <c r="M112" s="2547"/>
      <c r="N112" s="228"/>
      <c r="O112" s="78"/>
    </row>
    <row r="113" spans="1:15" x14ac:dyDescent="0.25">
      <c r="A113" s="78"/>
      <c r="B113" s="378"/>
      <c r="C113" s="2545"/>
      <c r="D113" s="2546"/>
      <c r="E113" s="2546"/>
      <c r="F113" s="2546"/>
      <c r="G113" s="2546"/>
      <c r="H113" s="2546"/>
      <c r="I113" s="2546"/>
      <c r="J113" s="2546"/>
      <c r="K113" s="2546"/>
      <c r="L113" s="2546"/>
      <c r="M113" s="2547"/>
      <c r="N113" s="228"/>
      <c r="O113" s="78"/>
    </row>
    <row r="114" spans="1:15" x14ac:dyDescent="0.25">
      <c r="A114" s="78"/>
      <c r="B114" s="378"/>
      <c r="C114" s="2548"/>
      <c r="D114" s="2549"/>
      <c r="E114" s="2549"/>
      <c r="F114" s="2549"/>
      <c r="G114" s="2549"/>
      <c r="H114" s="2549"/>
      <c r="I114" s="2549"/>
      <c r="J114" s="2549"/>
      <c r="K114" s="2549"/>
      <c r="L114" s="2549"/>
      <c r="M114" s="2550"/>
      <c r="N114" s="228"/>
      <c r="O114" s="78"/>
    </row>
    <row r="115" spans="1:15" x14ac:dyDescent="0.25">
      <c r="A115" s="78"/>
      <c r="B115" s="504"/>
      <c r="C115" s="535"/>
      <c r="D115" s="477"/>
      <c r="E115" s="477"/>
      <c r="F115" s="477"/>
      <c r="G115" s="477"/>
      <c r="H115" s="477"/>
      <c r="I115" s="477"/>
      <c r="J115" s="477"/>
      <c r="K115" s="477"/>
      <c r="L115" s="477"/>
      <c r="M115" s="477"/>
      <c r="N115" s="228"/>
      <c r="O115" s="78"/>
    </row>
    <row r="116" spans="1:15" ht="13.8" thickBot="1" x14ac:dyDescent="0.3">
      <c r="A116" s="78"/>
      <c r="B116" s="634"/>
      <c r="C116" s="798"/>
      <c r="D116" s="231"/>
      <c r="E116" s="231"/>
      <c r="F116" s="231"/>
      <c r="G116" s="231"/>
      <c r="H116" s="606"/>
      <c r="I116" s="606"/>
      <c r="J116" s="606"/>
      <c r="K116" s="231"/>
      <c r="L116" s="231"/>
      <c r="M116" s="606"/>
      <c r="N116" s="232"/>
      <c r="O116" s="78"/>
    </row>
    <row r="117" spans="1:15" ht="13.8" thickTop="1" x14ac:dyDescent="0.25">
      <c r="A117" s="78"/>
      <c r="B117" s="468"/>
      <c r="C117" s="768"/>
      <c r="D117" s="78"/>
      <c r="E117" s="78"/>
      <c r="F117" s="78"/>
      <c r="G117" s="78"/>
      <c r="H117" s="79"/>
      <c r="I117" s="79"/>
      <c r="J117" s="79"/>
      <c r="K117" s="78"/>
      <c r="L117" s="78"/>
      <c r="M117" s="79"/>
      <c r="N117" s="78"/>
      <c r="O117" s="78"/>
    </row>
    <row r="118" spans="1:15" x14ac:dyDescent="0.25">
      <c r="A118" s="78"/>
      <c r="B118" s="468"/>
      <c r="C118" s="78"/>
      <c r="D118" s="78"/>
      <c r="E118" s="78"/>
      <c r="F118" s="78"/>
      <c r="G118" s="78"/>
      <c r="H118" s="79"/>
      <c r="I118" s="79"/>
      <c r="J118" s="79"/>
      <c r="K118" s="78"/>
      <c r="L118" s="78"/>
      <c r="M118" s="79"/>
      <c r="N118" s="78"/>
      <c r="O118" s="78"/>
    </row>
    <row r="119" spans="1:15" x14ac:dyDescent="0.25">
      <c r="A119" s="78"/>
      <c r="B119" s="468"/>
      <c r="C119" s="78"/>
      <c r="D119" s="78"/>
      <c r="E119" s="78"/>
      <c r="F119" s="78"/>
      <c r="G119" s="78"/>
      <c r="H119" s="79"/>
      <c r="I119" s="79"/>
      <c r="J119" s="79"/>
      <c r="K119" s="78"/>
      <c r="L119" s="78"/>
      <c r="M119" s="79"/>
      <c r="N119" s="78"/>
      <c r="O119" s="78"/>
    </row>
  </sheetData>
  <sheetProtection password="E593" sheet="1" objects="1" scenarios="1"/>
  <customSheetViews>
    <customSheetView guid="{B63065A1-7838-417A-8679-08A8A2B79CD8}" scale="80" showPageBreaks="1" showGridLines="0" printArea="1">
      <selection activeCell="D3" sqref="D3:K3"/>
      <rowBreaks count="1" manualBreakCount="1">
        <brk id="49" max="14" man="1"/>
      </rowBreaks>
      <pageMargins left="0.25" right="0.25" top="0.75" bottom="0.75" header="0.3" footer="0.3"/>
      <printOptions horizontalCentered="1" verticalCentered="1"/>
      <pageSetup scale="62" fitToHeight="2" orientation="landscape" blackAndWhite="1" r:id="rId1"/>
      <headerFooter alignWithMargins="0"/>
    </customSheetView>
  </customSheetViews>
  <mergeCells count="23">
    <mergeCell ref="D1:K1"/>
    <mergeCell ref="D4:K4"/>
    <mergeCell ref="D5:K5"/>
    <mergeCell ref="E11:M11"/>
    <mergeCell ref="I12:L12"/>
    <mergeCell ref="D2:K2"/>
    <mergeCell ref="D6:K6"/>
    <mergeCell ref="E13:F13"/>
    <mergeCell ref="I13:J13"/>
    <mergeCell ref="K13:L13"/>
    <mergeCell ref="I61:L61"/>
    <mergeCell ref="I62:J62"/>
    <mergeCell ref="K62:L62"/>
    <mergeCell ref="C103:M114"/>
    <mergeCell ref="B101:N102"/>
    <mergeCell ref="D53:L53"/>
    <mergeCell ref="D55:K55"/>
    <mergeCell ref="D56:K56"/>
    <mergeCell ref="D57:K57"/>
    <mergeCell ref="K98:M99"/>
    <mergeCell ref="E60:M60"/>
    <mergeCell ref="D58:K58"/>
    <mergeCell ref="E61:F62"/>
  </mergeCells>
  <conditionalFormatting sqref="E17:F19 E24:F30 E35:F40 E45:F49 E67:F74 E79:F90">
    <cfRule type="expression" dxfId="13" priority="1" stopIfTrue="1">
      <formula>$H$12="Estimated"</formula>
    </cfRule>
  </conditionalFormatting>
  <printOptions horizontalCentered="1" verticalCentered="1"/>
  <pageMargins left="0.25" right="0.25" top="0.75" bottom="0.75" header="0.3" footer="0.3"/>
  <pageSetup scale="62" fitToHeight="2" orientation="landscape" blackAndWhite="1" r:id="rId2"/>
  <headerFooter alignWithMargins="0"/>
  <rowBreaks count="2" manualBreakCount="2">
    <brk id="49" max="14" man="1"/>
    <brk id="54" max="14" man="1"/>
  </rowBreaks>
  <drawing r:id="rId3"/>
  <legacyDrawing r:id="rId4"/>
  <mc:AlternateContent xmlns:mc="http://schemas.openxmlformats.org/markup-compatibility/2006">
    <mc:Choice Requires="x14">
      <controls>
        <mc:AlternateContent xmlns:mc="http://schemas.openxmlformats.org/markup-compatibility/2006">
          <mc:Choice Requires="x14">
            <control shapeId="166913" r:id="rId5" name="Button 1">
              <controlPr defaultSize="0" print="0" autoFill="0" autoPict="0" macro="[0]!PrintAttach11A">
                <anchor moveWithCells="1" sizeWithCells="1">
                  <from>
                    <xdr:col>12</xdr:col>
                    <xdr:colOff>60960</xdr:colOff>
                    <xdr:row>3</xdr:row>
                    <xdr:rowOff>38100</xdr:rowOff>
                  </from>
                  <to>
                    <xdr:col>14</xdr:col>
                    <xdr:colOff>22860</xdr:colOff>
                    <xdr:row>5</xdr:row>
                    <xdr:rowOff>60960</xdr:rowOff>
                  </to>
                </anchor>
              </controlPr>
            </control>
          </mc:Choice>
        </mc:AlternateContent>
        <mc:AlternateContent xmlns:mc="http://schemas.openxmlformats.org/markup-compatibility/2006">
          <mc:Choice Requires="x14">
            <control shapeId="166914" r:id="rId6" name="Button 2">
              <controlPr defaultSize="0" print="0" autoFill="0" autoPict="0" macro="[0]!BackMain">
                <anchor moveWithCells="1" sizeWithCells="1">
                  <from>
                    <xdr:col>0</xdr:col>
                    <xdr:colOff>579120</xdr:colOff>
                    <xdr:row>2</xdr:row>
                    <xdr:rowOff>129540</xdr:rowOff>
                  </from>
                  <to>
                    <xdr:col>2</xdr:col>
                    <xdr:colOff>236220</xdr:colOff>
                    <xdr:row>5</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T125"/>
  <sheetViews>
    <sheetView showGridLines="0" topLeftCell="A57" zoomScaleNormal="100" workbookViewId="0">
      <selection activeCell="O99" sqref="O99"/>
    </sheetView>
  </sheetViews>
  <sheetFormatPr defaultColWidth="9.109375" defaultRowHeight="13.2" x14ac:dyDescent="0.25"/>
  <cols>
    <col min="1" max="1" width="9.109375" style="15"/>
    <col min="2" max="2" width="10.33203125" style="52" customWidth="1"/>
    <col min="3" max="3" width="31.6640625" style="28" customWidth="1"/>
    <col min="4" max="4" width="6" style="28" customWidth="1"/>
    <col min="5" max="5" width="9.6640625" style="28" customWidth="1"/>
    <col min="6" max="6" width="1.6640625" style="28" customWidth="1"/>
    <col min="7" max="7" width="17" style="27" customWidth="1"/>
    <col min="8" max="8" width="14.33203125" style="56" customWidth="1"/>
    <col min="9" max="9" width="7.6640625" style="56" customWidth="1"/>
    <col min="10" max="10" width="9.88671875" style="35" customWidth="1"/>
    <col min="11" max="11" width="14.33203125" style="30" customWidth="1"/>
    <col min="12" max="12" width="15" style="31" customWidth="1"/>
    <col min="13" max="13" width="15.109375" style="31" customWidth="1"/>
    <col min="14" max="14" width="15.109375" style="28" customWidth="1"/>
    <col min="15" max="15" width="15" style="34" customWidth="1"/>
    <col min="16" max="17" width="9.109375" style="15"/>
    <col min="18" max="19" width="9.109375" style="1909"/>
    <col min="20" max="16384" width="9.109375" style="15"/>
  </cols>
  <sheetData>
    <row r="1" spans="1:17" x14ac:dyDescent="0.25">
      <c r="A1" s="299"/>
      <c r="B1" s="518" t="str">
        <f>TestYear &amp; " Test Year"</f>
        <v>2023 Test Year</v>
      </c>
      <c r="C1" s="475"/>
      <c r="D1" s="475"/>
      <c r="E1" s="475"/>
      <c r="F1" s="475"/>
      <c r="G1" s="475"/>
      <c r="H1" s="971"/>
      <c r="I1" s="971"/>
      <c r="J1" s="547"/>
      <c r="K1" s="972"/>
      <c r="L1" s="864"/>
      <c r="M1" s="864"/>
      <c r="N1" s="475"/>
      <c r="O1" s="769"/>
      <c r="P1" s="769" t="s">
        <v>558</v>
      </c>
      <c r="Q1" s="299"/>
    </row>
    <row r="2" spans="1:17" x14ac:dyDescent="0.25">
      <c r="A2" s="299"/>
      <c r="B2" s="2462" t="str">
        <f>Utility</f>
        <v>Cleveland Water Utility</v>
      </c>
      <c r="C2" s="2462"/>
      <c r="D2" s="2462"/>
      <c r="E2" s="2462"/>
      <c r="F2" s="2462"/>
      <c r="G2" s="2462"/>
      <c r="H2" s="2462"/>
      <c r="I2" s="2462"/>
      <c r="J2" s="2462"/>
      <c r="K2" s="2462"/>
      <c r="L2" s="2462"/>
      <c r="M2" s="2462"/>
      <c r="N2" s="2462"/>
      <c r="O2" s="2462"/>
      <c r="P2" s="2462"/>
      <c r="Q2" s="299"/>
    </row>
    <row r="3" spans="1:17" ht="15.75" customHeight="1" x14ac:dyDescent="0.25">
      <c r="A3" s="299"/>
      <c r="B3" s="2408" t="s">
        <v>559</v>
      </c>
      <c r="C3" s="2408"/>
      <c r="D3" s="2408"/>
      <c r="E3" s="2408"/>
      <c r="F3" s="2408"/>
      <c r="G3" s="2408"/>
      <c r="H3" s="2408"/>
      <c r="I3" s="2408"/>
      <c r="J3" s="2408"/>
      <c r="K3" s="2408"/>
      <c r="L3" s="2408"/>
      <c r="M3" s="2408"/>
      <c r="N3" s="2408"/>
      <c r="O3" s="2408"/>
      <c r="P3" s="2408"/>
      <c r="Q3" s="299"/>
    </row>
    <row r="4" spans="1:17" x14ac:dyDescent="0.25">
      <c r="A4" s="299"/>
      <c r="B4" s="2564" t="str">
        <f>CONCATENATE("Estimated for Test Year ",TestYear)</f>
        <v>Estimated for Test Year 2023</v>
      </c>
      <c r="C4" s="2564"/>
      <c r="D4" s="2564"/>
      <c r="E4" s="2564"/>
      <c r="F4" s="2564"/>
      <c r="G4" s="2564"/>
      <c r="H4" s="2564"/>
      <c r="I4" s="2564"/>
      <c r="J4" s="2564"/>
      <c r="K4" s="2564"/>
      <c r="L4" s="2564"/>
      <c r="M4" s="2564"/>
      <c r="N4" s="2564"/>
      <c r="O4" s="2564"/>
      <c r="P4" s="2564"/>
      <c r="Q4" s="299"/>
    </row>
    <row r="5" spans="1:17" x14ac:dyDescent="0.25">
      <c r="A5" s="299"/>
      <c r="B5" s="770"/>
      <c r="C5" s="475" t="s">
        <v>442</v>
      </c>
      <c r="D5" s="475"/>
      <c r="E5" s="770"/>
      <c r="F5" s="770"/>
      <c r="G5" s="475"/>
      <c r="H5" s="971"/>
      <c r="I5" s="971"/>
      <c r="J5" s="547"/>
      <c r="K5" s="973"/>
      <c r="L5" s="804"/>
      <c r="M5" s="804"/>
      <c r="N5" s="770"/>
      <c r="O5" s="769"/>
      <c r="P5" s="299"/>
      <c r="Q5" s="299"/>
    </row>
    <row r="6" spans="1:17" x14ac:dyDescent="0.25">
      <c r="A6" s="299"/>
      <c r="B6" s="975"/>
      <c r="C6" s="2124" t="str">
        <f>CONCATENATE("1. The Estimated ",TestYear- 1,  " Depreciation Accrual in Column (A) is to be calculated based upon the current depreciation rates.")</f>
        <v>1. The Estimated 2022 Depreciation Accrual in Column (A) is to be calculated based upon the current depreciation rates.</v>
      </c>
      <c r="D6" s="976"/>
      <c r="E6" s="770"/>
      <c r="F6" s="770"/>
      <c r="G6" s="610"/>
      <c r="H6" s="971"/>
      <c r="I6" s="971"/>
      <c r="J6" s="547"/>
      <c r="K6" s="973"/>
      <c r="L6" s="804"/>
      <c r="M6" s="804"/>
      <c r="N6" s="770"/>
      <c r="O6" s="769"/>
      <c r="P6" s="299"/>
      <c r="Q6" s="299"/>
    </row>
    <row r="7" spans="1:17" x14ac:dyDescent="0.25">
      <c r="A7" s="299"/>
      <c r="B7" s="975"/>
      <c r="C7" s="2587" t="str">
        <f>CONCATENATE("2. The Test Year ",TestYear,  " Depreciation Accrual in Column (B) is to be based upon the PSC Recommended Depreciation Benchmark Rates (revised March 2, 2000) or upon the Utility Proposed Rates for the test year.")</f>
        <v>2. The Test Year 2023 Depreciation Accrual in Column (B) is to be based upon the PSC Recommended Depreciation Benchmark Rates (revised March 2, 2000) or upon the Utility Proposed Rates for the test year.</v>
      </c>
      <c r="D7" s="2588"/>
      <c r="E7" s="2588"/>
      <c r="F7" s="2588"/>
      <c r="G7" s="2588"/>
      <c r="H7" s="2588"/>
      <c r="I7" s="2588"/>
      <c r="J7" s="2588"/>
      <c r="K7" s="2588"/>
      <c r="L7" s="2588"/>
      <c r="M7" s="804"/>
      <c r="N7" s="770"/>
      <c r="O7" s="769"/>
      <c r="P7" s="299"/>
      <c r="Q7" s="299"/>
    </row>
    <row r="8" spans="1:17" x14ac:dyDescent="0.25">
      <c r="A8" s="299"/>
      <c r="B8" s="299"/>
      <c r="C8" s="2588"/>
      <c r="D8" s="2588"/>
      <c r="E8" s="2588"/>
      <c r="F8" s="2588"/>
      <c r="G8" s="2588"/>
      <c r="H8" s="2588"/>
      <c r="I8" s="2588"/>
      <c r="J8" s="2588"/>
      <c r="K8" s="2588"/>
      <c r="L8" s="2588"/>
      <c r="M8" s="804"/>
      <c r="N8" s="770"/>
      <c r="O8" s="977"/>
      <c r="P8" s="299"/>
      <c r="Q8" s="299"/>
    </row>
    <row r="9" spans="1:17" x14ac:dyDescent="0.25">
      <c r="A9" s="299"/>
      <c r="B9" s="299"/>
      <c r="C9" s="907" t="s">
        <v>1295</v>
      </c>
      <c r="D9" s="299"/>
      <c r="E9" s="299"/>
      <c r="F9" s="299"/>
      <c r="G9" s="299"/>
      <c r="H9" s="299"/>
      <c r="I9" s="299"/>
      <c r="J9" s="299"/>
      <c r="K9" s="299"/>
      <c r="L9" s="299"/>
      <c r="M9" s="804"/>
      <c r="N9" s="770"/>
      <c r="O9" s="769"/>
      <c r="P9" s="299"/>
      <c r="Q9" s="299"/>
    </row>
    <row r="10" spans="1:17" x14ac:dyDescent="0.25">
      <c r="A10" s="299"/>
      <c r="B10" s="299"/>
      <c r="C10" s="907" t="s">
        <v>1296</v>
      </c>
      <c r="D10" s="299"/>
      <c r="E10" s="299"/>
      <c r="F10" s="299"/>
      <c r="G10" s="299"/>
      <c r="H10" s="299"/>
      <c r="I10" s="299"/>
      <c r="J10" s="299"/>
      <c r="K10" s="299"/>
      <c r="L10" s="299"/>
      <c r="M10" s="804"/>
      <c r="N10" s="770"/>
      <c r="O10" s="769"/>
      <c r="P10" s="299"/>
      <c r="Q10" s="299"/>
    </row>
    <row r="11" spans="1:17" ht="15.6" customHeight="1" thickBot="1" x14ac:dyDescent="0.3">
      <c r="A11" s="299"/>
      <c r="B11" s="475"/>
      <c r="C11" s="2125" t="s">
        <v>1297</v>
      </c>
      <c r="D11" s="299"/>
      <c r="E11" s="299"/>
      <c r="F11" s="299"/>
      <c r="G11" s="299"/>
      <c r="H11" s="299"/>
      <c r="I11" s="299"/>
      <c r="J11" s="299"/>
      <c r="K11" s="299"/>
      <c r="L11" s="299"/>
      <c r="M11" s="864"/>
      <c r="N11" s="770"/>
      <c r="O11" s="769"/>
      <c r="P11" s="299"/>
      <c r="Q11" s="299"/>
    </row>
    <row r="12" spans="1:17" ht="13.8" thickTop="1" x14ac:dyDescent="0.25">
      <c r="A12" s="299"/>
      <c r="B12" s="1009"/>
      <c r="C12" s="1010"/>
      <c r="D12" s="1010"/>
      <c r="E12" s="1010"/>
      <c r="F12" s="1010"/>
      <c r="G12" s="1010"/>
      <c r="H12" s="1010"/>
      <c r="I12" s="1010"/>
      <c r="J12" s="1010"/>
      <c r="K12" s="1010"/>
      <c r="L12" s="1010"/>
      <c r="M12" s="1011"/>
      <c r="N12" s="962"/>
      <c r="O12" s="1012"/>
      <c r="P12" s="335"/>
      <c r="Q12" s="299"/>
    </row>
    <row r="13" spans="1:17" x14ac:dyDescent="0.25">
      <c r="A13" s="299"/>
      <c r="B13" s="963"/>
      <c r="C13" s="519"/>
      <c r="D13" s="519"/>
      <c r="E13" s="2561" t="str">
        <f>CONCATENATE(Data!H5, " ",TestYear-1)</f>
        <v>Estimated 2022</v>
      </c>
      <c r="F13" s="2589"/>
      <c r="G13" s="2589"/>
      <c r="H13" s="2589"/>
      <c r="I13" s="1013"/>
      <c r="J13" s="2561" t="str">
        <f>CONCATENATE("Test Year ",TestYear)</f>
        <v>Test Year 2023</v>
      </c>
      <c r="K13" s="2561"/>
      <c r="L13" s="2561"/>
      <c r="M13" s="2561"/>
      <c r="N13" s="2589"/>
      <c r="O13" s="2589"/>
      <c r="P13" s="336"/>
      <c r="Q13" s="299"/>
    </row>
    <row r="14" spans="1:17" ht="15" customHeight="1" x14ac:dyDescent="0.25">
      <c r="A14" s="299"/>
      <c r="B14" s="792" t="s">
        <v>443</v>
      </c>
      <c r="C14" s="662"/>
      <c r="D14" s="519"/>
      <c r="E14" s="2592" t="s">
        <v>560</v>
      </c>
      <c r="F14" s="2592"/>
      <c r="G14" s="2592"/>
      <c r="H14" s="2592"/>
      <c r="I14" s="1014"/>
      <c r="J14" s="2592" t="s">
        <v>561</v>
      </c>
      <c r="K14" s="2592"/>
      <c r="L14" s="2592"/>
      <c r="M14" s="2592"/>
      <c r="N14" s="2592"/>
      <c r="O14" s="2592"/>
      <c r="P14" s="336"/>
      <c r="Q14" s="299"/>
    </row>
    <row r="15" spans="1:17" x14ac:dyDescent="0.25">
      <c r="A15" s="299"/>
      <c r="B15" s="792" t="s">
        <v>444</v>
      </c>
      <c r="C15" s="592" t="s">
        <v>491</v>
      </c>
      <c r="D15" s="978"/>
      <c r="E15" s="1015" t="s">
        <v>562</v>
      </c>
      <c r="F15" s="985"/>
      <c r="G15" s="592" t="s">
        <v>563</v>
      </c>
      <c r="H15" s="1003" t="s">
        <v>564</v>
      </c>
      <c r="I15" s="1014"/>
      <c r="J15" s="1016" t="s">
        <v>562</v>
      </c>
      <c r="K15" s="987" t="s">
        <v>565</v>
      </c>
      <c r="L15" s="988"/>
      <c r="M15" s="2551" t="s">
        <v>566</v>
      </c>
      <c r="N15" s="2590"/>
      <c r="O15" s="592" t="s">
        <v>313</v>
      </c>
      <c r="P15" s="336"/>
      <c r="Q15" s="299"/>
    </row>
    <row r="16" spans="1:17" x14ac:dyDescent="0.25">
      <c r="A16" s="299"/>
      <c r="B16" s="793" t="s">
        <v>445</v>
      </c>
      <c r="C16" s="774" t="s">
        <v>493</v>
      </c>
      <c r="D16" s="774"/>
      <c r="E16" s="773" t="s">
        <v>866</v>
      </c>
      <c r="F16" s="905"/>
      <c r="G16" s="955" t="s">
        <v>500</v>
      </c>
      <c r="H16" s="986" t="s">
        <v>567</v>
      </c>
      <c r="I16" s="705"/>
      <c r="J16" s="955" t="s">
        <v>867</v>
      </c>
      <c r="K16" s="984" t="s">
        <v>568</v>
      </c>
      <c r="L16" s="956" t="s">
        <v>569</v>
      </c>
      <c r="M16" s="956" t="s">
        <v>568</v>
      </c>
      <c r="N16" s="956" t="s">
        <v>569</v>
      </c>
      <c r="O16" s="955" t="s">
        <v>172</v>
      </c>
      <c r="P16" s="336"/>
      <c r="Q16" s="299"/>
    </row>
    <row r="17" spans="1:17" x14ac:dyDescent="0.25">
      <c r="A17" s="299"/>
      <c r="B17" s="963"/>
      <c r="C17" s="519"/>
      <c r="D17" s="519"/>
      <c r="E17" s="979"/>
      <c r="F17" s="1001"/>
      <c r="G17" s="978"/>
      <c r="H17" s="980"/>
      <c r="I17" s="1014"/>
      <c r="J17" s="978"/>
      <c r="K17" s="979"/>
      <c r="L17" s="731"/>
      <c r="M17" s="731"/>
      <c r="N17" s="978"/>
      <c r="O17" s="731"/>
      <c r="P17" s="336"/>
      <c r="Q17" s="299"/>
    </row>
    <row r="18" spans="1:17" x14ac:dyDescent="0.25">
      <c r="A18" s="299"/>
      <c r="B18" s="792" t="s">
        <v>570</v>
      </c>
      <c r="C18" s="519" t="s">
        <v>507</v>
      </c>
      <c r="D18" s="519"/>
      <c r="E18" s="1019" t="s">
        <v>571</v>
      </c>
      <c r="F18" s="688"/>
      <c r="G18" s="981" t="s">
        <v>571</v>
      </c>
      <c r="H18" s="705" t="s">
        <v>571</v>
      </c>
      <c r="I18" s="1014"/>
      <c r="J18" s="1017" t="s">
        <v>571</v>
      </c>
      <c r="K18" s="1018" t="s">
        <v>571</v>
      </c>
      <c r="L18" s="1017" t="s">
        <v>571</v>
      </c>
      <c r="M18" s="981" t="s">
        <v>571</v>
      </c>
      <c r="N18" s="981" t="s">
        <v>571</v>
      </c>
      <c r="O18" s="705" t="s">
        <v>571</v>
      </c>
      <c r="P18" s="336"/>
      <c r="Q18" s="299"/>
    </row>
    <row r="19" spans="1:17" x14ac:dyDescent="0.25">
      <c r="A19" s="299"/>
      <c r="B19" s="792"/>
      <c r="C19" s="519"/>
      <c r="D19" s="519"/>
      <c r="E19" s="480" t="s">
        <v>508</v>
      </c>
      <c r="F19" s="478"/>
      <c r="G19" s="519" t="s">
        <v>508</v>
      </c>
      <c r="H19" s="1002" t="s">
        <v>508</v>
      </c>
      <c r="I19" s="1002"/>
      <c r="J19" s="653"/>
      <c r="K19" s="478"/>
      <c r="L19" s="519"/>
      <c r="M19" s="519"/>
      <c r="N19" s="519" t="s">
        <v>508</v>
      </c>
      <c r="O19" s="949" t="s">
        <v>508</v>
      </c>
      <c r="P19" s="336"/>
      <c r="Q19" s="299"/>
    </row>
    <row r="20" spans="1:17" x14ac:dyDescent="0.25">
      <c r="A20" s="299"/>
      <c r="B20" s="792"/>
      <c r="C20" s="978" t="s">
        <v>509</v>
      </c>
      <c r="D20" s="978"/>
      <c r="E20" s="794" t="s">
        <v>259</v>
      </c>
      <c r="F20" s="800"/>
      <c r="G20" s="519"/>
      <c r="H20" s="1002"/>
      <c r="I20" s="1002"/>
      <c r="J20" s="982"/>
      <c r="K20" s="800"/>
      <c r="L20" s="800"/>
      <c r="M20" s="800"/>
      <c r="N20" s="478" t="s">
        <v>259</v>
      </c>
      <c r="O20" s="800" t="s">
        <v>259</v>
      </c>
      <c r="P20" s="336"/>
      <c r="Q20" s="299"/>
    </row>
    <row r="21" spans="1:17" x14ac:dyDescent="0.25">
      <c r="A21" s="299"/>
      <c r="B21" s="792">
        <v>310</v>
      </c>
      <c r="C21" s="519" t="s">
        <v>510</v>
      </c>
      <c r="D21" s="519"/>
      <c r="E21" s="1019" t="s">
        <v>571</v>
      </c>
      <c r="F21" s="688"/>
      <c r="G21" s="981" t="s">
        <v>571</v>
      </c>
      <c r="H21" s="1014" t="s">
        <v>571</v>
      </c>
      <c r="I21" s="1014"/>
      <c r="J21" s="1017" t="s">
        <v>571</v>
      </c>
      <c r="K21" s="1018" t="s">
        <v>571</v>
      </c>
      <c r="L21" s="981" t="s">
        <v>571</v>
      </c>
      <c r="M21" s="981" t="s">
        <v>571</v>
      </c>
      <c r="N21" s="981" t="s">
        <v>571</v>
      </c>
      <c r="O21" s="1014" t="s">
        <v>571</v>
      </c>
      <c r="P21" s="336"/>
      <c r="Q21" s="299"/>
    </row>
    <row r="22" spans="1:17" x14ac:dyDescent="0.25">
      <c r="A22" s="299"/>
      <c r="B22" s="506">
        <v>311</v>
      </c>
      <c r="C22" s="477" t="s">
        <v>511</v>
      </c>
      <c r="D22" s="477"/>
      <c r="E22" s="1019">
        <f>Data!C119</f>
        <v>0</v>
      </c>
      <c r="F22" s="538"/>
      <c r="G22" s="1020">
        <f>ROUND((Attach11!D25+Attach11!G25+0.5*(Attach11!E25-Attach11!F25)),0)</f>
        <v>0</v>
      </c>
      <c r="H22" s="989">
        <f t="shared" ref="H22:H27" si="0">ROUND(E22*G22,0)</f>
        <v>0</v>
      </c>
      <c r="I22" s="991"/>
      <c r="J22" s="1021">
        <v>3.2000000000000001E-2</v>
      </c>
      <c r="K22" s="1022">
        <f>Attach11!I25</f>
        <v>0</v>
      </c>
      <c r="L22" s="1020">
        <f>Attach11!N25-Attach11!I25</f>
        <v>0</v>
      </c>
      <c r="M22" s="989">
        <f t="shared" ref="M22:M27" si="1">ROUND(J22*K22,0)</f>
        <v>0</v>
      </c>
      <c r="N22" s="989">
        <f t="shared" ref="N22:N27" si="2">ROUND(J22*L22,0)</f>
        <v>0</v>
      </c>
      <c r="O22" s="1014">
        <f t="shared" ref="O22:O27" si="3">M22+N22</f>
        <v>0</v>
      </c>
      <c r="P22" s="336"/>
      <c r="Q22" s="299"/>
    </row>
    <row r="23" spans="1:17" x14ac:dyDescent="0.25">
      <c r="A23" s="299"/>
      <c r="B23" s="506">
        <v>312</v>
      </c>
      <c r="C23" s="477" t="s">
        <v>512</v>
      </c>
      <c r="D23" s="477"/>
      <c r="E23" s="1019">
        <v>1.7000000000000001E-2</v>
      </c>
      <c r="F23" s="538"/>
      <c r="G23" s="1020">
        <f>ROUND((Attach11!D26+Attach11!G26+0.5*(Attach11!E26-Attach11!F26)),0)</f>
        <v>28282</v>
      </c>
      <c r="H23" s="990">
        <f t="shared" si="0"/>
        <v>481</v>
      </c>
      <c r="I23" s="991"/>
      <c r="J23" s="1021">
        <v>1.7000000000000001E-2</v>
      </c>
      <c r="K23" s="1018">
        <f>Attach11!I26</f>
        <v>0</v>
      </c>
      <c r="L23" s="1023">
        <f>Attach11!N26-Attach11!I26</f>
        <v>28282</v>
      </c>
      <c r="M23" s="990">
        <f t="shared" si="1"/>
        <v>0</v>
      </c>
      <c r="N23" s="990">
        <f t="shared" si="2"/>
        <v>481</v>
      </c>
      <c r="O23" s="800">
        <f t="shared" si="3"/>
        <v>481</v>
      </c>
      <c r="P23" s="336"/>
      <c r="Q23" s="299"/>
    </row>
    <row r="24" spans="1:17" x14ac:dyDescent="0.25">
      <c r="A24" s="299"/>
      <c r="B24" s="506">
        <v>313</v>
      </c>
      <c r="C24" s="477" t="s">
        <v>513</v>
      </c>
      <c r="D24" s="477"/>
      <c r="E24" s="1019">
        <f>Data!C121</f>
        <v>0</v>
      </c>
      <c r="F24" s="538"/>
      <c r="G24" s="1020">
        <f>ROUND((Attach11!D27+Attach11!G27+0.5*(Attach11!E27-Attach11!F27)),0)</f>
        <v>0</v>
      </c>
      <c r="H24" s="990">
        <f t="shared" si="0"/>
        <v>0</v>
      </c>
      <c r="I24" s="991"/>
      <c r="J24" s="1021">
        <v>1.7000000000000001E-2</v>
      </c>
      <c r="K24" s="1018">
        <f>Attach11!I27</f>
        <v>0</v>
      </c>
      <c r="L24" s="1023">
        <f>Attach11!N27-Attach11!I27</f>
        <v>0</v>
      </c>
      <c r="M24" s="990">
        <f t="shared" si="1"/>
        <v>0</v>
      </c>
      <c r="N24" s="990">
        <f t="shared" si="2"/>
        <v>0</v>
      </c>
      <c r="O24" s="800">
        <f t="shared" si="3"/>
        <v>0</v>
      </c>
      <c r="P24" s="336"/>
      <c r="Q24" s="299"/>
    </row>
    <row r="25" spans="1:17" x14ac:dyDescent="0.25">
      <c r="A25" s="299"/>
      <c r="B25" s="506">
        <v>314</v>
      </c>
      <c r="C25" s="477" t="s">
        <v>514</v>
      </c>
      <c r="D25" s="477"/>
      <c r="E25" s="1019">
        <v>2.9000000000000001E-2</v>
      </c>
      <c r="F25" s="538"/>
      <c r="G25" s="1020">
        <f>ROUND((Attach11!D28+Attach11!G28+0.5*(Attach11!E28-Attach11!F28)),0)</f>
        <v>139840</v>
      </c>
      <c r="H25" s="990">
        <f t="shared" si="0"/>
        <v>4055</v>
      </c>
      <c r="I25" s="991"/>
      <c r="J25" s="1021">
        <v>2.9000000000000001E-2</v>
      </c>
      <c r="K25" s="1018">
        <f>Attach11!I28</f>
        <v>0</v>
      </c>
      <c r="L25" s="1023">
        <f>Attach11!N28-Attach11!I28</f>
        <v>139840</v>
      </c>
      <c r="M25" s="990">
        <f t="shared" si="1"/>
        <v>0</v>
      </c>
      <c r="N25" s="990">
        <f t="shared" si="2"/>
        <v>4055</v>
      </c>
      <c r="O25" s="800">
        <f t="shared" si="3"/>
        <v>4055</v>
      </c>
      <c r="P25" s="336"/>
      <c r="Q25" s="299"/>
    </row>
    <row r="26" spans="1:17" x14ac:dyDescent="0.25">
      <c r="A26" s="299"/>
      <c r="B26" s="506">
        <v>316</v>
      </c>
      <c r="C26" s="477" t="s">
        <v>515</v>
      </c>
      <c r="D26" s="477"/>
      <c r="E26" s="1019">
        <f>Data!C123</f>
        <v>0</v>
      </c>
      <c r="F26" s="538"/>
      <c r="G26" s="1020">
        <f>ROUND((Attach11!D29+Attach11!G29+0.5*(Attach11!E29-Attach11!F29)),0)</f>
        <v>0</v>
      </c>
      <c r="H26" s="990">
        <f t="shared" si="0"/>
        <v>0</v>
      </c>
      <c r="I26" s="991"/>
      <c r="J26" s="1021">
        <v>1.7999999999999999E-2</v>
      </c>
      <c r="K26" s="1018">
        <f>Attach11!I29</f>
        <v>0</v>
      </c>
      <c r="L26" s="1023">
        <f>Attach11!N29-Attach11!I29</f>
        <v>0</v>
      </c>
      <c r="M26" s="990">
        <f t="shared" si="1"/>
        <v>0</v>
      </c>
      <c r="N26" s="990">
        <f t="shared" si="2"/>
        <v>0</v>
      </c>
      <c r="O26" s="800">
        <f t="shared" si="3"/>
        <v>0</v>
      </c>
      <c r="P26" s="336"/>
      <c r="Q26" s="299"/>
    </row>
    <row r="27" spans="1:17" x14ac:dyDescent="0.25">
      <c r="A27" s="299"/>
      <c r="B27" s="506">
        <v>317</v>
      </c>
      <c r="C27" s="477" t="s">
        <v>516</v>
      </c>
      <c r="D27" s="477"/>
      <c r="E27" s="1019">
        <f>Data!C124</f>
        <v>0</v>
      </c>
      <c r="F27" s="538"/>
      <c r="G27" s="1020">
        <f>ROUND((Attach11!D30+Attach11!G30+0.5*(Attach11!E30-Attach11!F30)),0)</f>
        <v>0</v>
      </c>
      <c r="H27" s="1034">
        <f t="shared" si="0"/>
        <v>0</v>
      </c>
      <c r="I27" s="991"/>
      <c r="J27" s="1021">
        <v>4.4999999999999998E-2</v>
      </c>
      <c r="K27" s="1018">
        <f>Attach11!I30</f>
        <v>0</v>
      </c>
      <c r="L27" s="1023">
        <f>Attach11!N30-Attach11!I30</f>
        <v>0</v>
      </c>
      <c r="M27" s="990">
        <f t="shared" si="1"/>
        <v>0</v>
      </c>
      <c r="N27" s="990">
        <f t="shared" si="2"/>
        <v>0</v>
      </c>
      <c r="O27" s="1035">
        <f t="shared" si="3"/>
        <v>0</v>
      </c>
      <c r="P27" s="336"/>
      <c r="Q27" s="299"/>
    </row>
    <row r="28" spans="1:17" x14ac:dyDescent="0.25">
      <c r="A28" s="299"/>
      <c r="B28" s="506"/>
      <c r="C28" s="477"/>
      <c r="D28" s="477"/>
      <c r="E28" s="538"/>
      <c r="F28" s="538"/>
      <c r="G28" s="538"/>
      <c r="H28" s="1002"/>
      <c r="I28" s="991"/>
      <c r="J28" s="992"/>
      <c r="K28" s="480"/>
      <c r="L28" s="538"/>
      <c r="M28" s="538"/>
      <c r="N28" s="538"/>
      <c r="O28" s="1002"/>
      <c r="P28" s="336"/>
      <c r="Q28" s="299"/>
    </row>
    <row r="29" spans="1:17" x14ac:dyDescent="0.25">
      <c r="A29" s="299"/>
      <c r="B29" s="506"/>
      <c r="C29" s="477" t="s">
        <v>517</v>
      </c>
      <c r="D29" s="477"/>
      <c r="E29" s="538"/>
      <c r="F29" s="538"/>
      <c r="G29" s="538"/>
      <c r="H29" s="993">
        <f>SUM(H21:H27)</f>
        <v>4536</v>
      </c>
      <c r="I29" s="991"/>
      <c r="J29" s="992"/>
      <c r="K29" s="480"/>
      <c r="L29" s="538"/>
      <c r="M29" s="538"/>
      <c r="N29" s="538"/>
      <c r="O29" s="993">
        <f>SUM(O21:O27)</f>
        <v>4536</v>
      </c>
      <c r="P29" s="336"/>
      <c r="Q29" s="299"/>
    </row>
    <row r="30" spans="1:17" x14ac:dyDescent="0.25">
      <c r="A30" s="299"/>
      <c r="B30" s="506"/>
      <c r="C30" s="477"/>
      <c r="D30" s="477"/>
      <c r="E30" s="480" t="s">
        <v>508</v>
      </c>
      <c r="F30" s="480"/>
      <c r="G30" s="477" t="s">
        <v>508</v>
      </c>
      <c r="H30" s="1002" t="s">
        <v>508</v>
      </c>
      <c r="I30" s="991"/>
      <c r="J30" s="535"/>
      <c r="K30" s="480"/>
      <c r="L30" s="477"/>
      <c r="M30" s="477"/>
      <c r="N30" s="477" t="s">
        <v>508</v>
      </c>
      <c r="O30" s="949" t="s">
        <v>508</v>
      </c>
      <c r="P30" s="336"/>
      <c r="Q30" s="299"/>
    </row>
    <row r="31" spans="1:17" ht="15.75" customHeight="1" x14ac:dyDescent="0.25">
      <c r="A31" s="299"/>
      <c r="B31" s="506"/>
      <c r="C31" s="536" t="s">
        <v>518</v>
      </c>
      <c r="D31" s="536"/>
      <c r="E31" s="480" t="s">
        <v>259</v>
      </c>
      <c r="F31" s="480"/>
      <c r="G31" s="477"/>
      <c r="H31" s="1002"/>
      <c r="I31" s="991"/>
      <c r="J31" s="970"/>
      <c r="K31" s="480"/>
      <c r="L31" s="480"/>
      <c r="M31" s="480"/>
      <c r="N31" s="480" t="s">
        <v>259</v>
      </c>
      <c r="O31" s="800" t="s">
        <v>259</v>
      </c>
      <c r="P31" s="336"/>
      <c r="Q31" s="299"/>
    </row>
    <row r="32" spans="1:17" x14ac:dyDescent="0.25">
      <c r="A32" s="299"/>
      <c r="B32" s="506">
        <v>320</v>
      </c>
      <c r="C32" s="477" t="s">
        <v>510</v>
      </c>
      <c r="D32" s="477"/>
      <c r="E32" s="1019" t="s">
        <v>571</v>
      </c>
      <c r="F32" s="538"/>
      <c r="G32" s="969" t="s">
        <v>571</v>
      </c>
      <c r="H32" s="1014" t="s">
        <v>571</v>
      </c>
      <c r="I32" s="994"/>
      <c r="J32" s="995" t="s">
        <v>571</v>
      </c>
      <c r="K32" s="1024" t="s">
        <v>571</v>
      </c>
      <c r="L32" s="994" t="s">
        <v>571</v>
      </c>
      <c r="M32" s="969" t="s">
        <v>571</v>
      </c>
      <c r="N32" s="969" t="s">
        <v>571</v>
      </c>
      <c r="O32" s="1014" t="s">
        <v>571</v>
      </c>
      <c r="P32" s="336"/>
      <c r="Q32" s="299"/>
    </row>
    <row r="33" spans="1:17" x14ac:dyDescent="0.25">
      <c r="A33" s="299"/>
      <c r="B33" s="506">
        <v>321</v>
      </c>
      <c r="C33" s="477" t="s">
        <v>511</v>
      </c>
      <c r="D33" s="477"/>
      <c r="E33" s="1019">
        <v>3.2000000000000001E-2</v>
      </c>
      <c r="F33" s="538"/>
      <c r="G33" s="1020">
        <f>ROUND((Attach11!D36+Attach11!G36+0.5*(Attach11!E36-Attach11!F36)),0)</f>
        <v>192622</v>
      </c>
      <c r="H33" s="989">
        <f>ROUND(E33*G33,0)</f>
        <v>6164</v>
      </c>
      <c r="I33" s="991"/>
      <c r="J33" s="1021">
        <v>3.2000000000000001E-2</v>
      </c>
      <c r="K33" s="1022">
        <f>Attach11!I36</f>
        <v>0</v>
      </c>
      <c r="L33" s="1020">
        <f>Attach11!N36-Attach11!I36</f>
        <v>192622</v>
      </c>
      <c r="M33" s="989">
        <f>ROUND(J33*K33,0)</f>
        <v>0</v>
      </c>
      <c r="N33" s="989">
        <f>ROUND(J33*L33,0)</f>
        <v>6164</v>
      </c>
      <c r="O33" s="1014">
        <f>M33+N33</f>
        <v>6164</v>
      </c>
      <c r="P33" s="336"/>
      <c r="Q33" s="299"/>
    </row>
    <row r="34" spans="1:17" x14ac:dyDescent="0.25">
      <c r="A34" s="299"/>
      <c r="B34" s="506">
        <v>323</v>
      </c>
      <c r="C34" s="477" t="s">
        <v>519</v>
      </c>
      <c r="D34" s="477"/>
      <c r="E34" s="1019">
        <v>4.3999999999999997E-2</v>
      </c>
      <c r="F34" s="538"/>
      <c r="G34" s="1020">
        <f>ROUND((Attach11!D37+Attach11!G37+0.5*(Attach11!E37-Attach11!F37)),0)</f>
        <v>899</v>
      </c>
      <c r="H34" s="990">
        <f>ROUND(E34*G34,0)</f>
        <v>40</v>
      </c>
      <c r="I34" s="991"/>
      <c r="J34" s="1021">
        <v>4.3999999999999997E-2</v>
      </c>
      <c r="K34" s="1018">
        <f>Attach11!I37</f>
        <v>0</v>
      </c>
      <c r="L34" s="1023">
        <f>Attach11!N37-Attach11!I37</f>
        <v>899</v>
      </c>
      <c r="M34" s="990">
        <f>ROUND(J34*K34,0)</f>
        <v>0</v>
      </c>
      <c r="N34" s="990">
        <f>ROUND(J34*L34,0)</f>
        <v>40</v>
      </c>
      <c r="O34" s="800">
        <f>M34+N34</f>
        <v>40</v>
      </c>
      <c r="P34" s="336"/>
      <c r="Q34" s="299"/>
    </row>
    <row r="35" spans="1:17" x14ac:dyDescent="0.25">
      <c r="A35" s="299"/>
      <c r="B35" s="506">
        <v>325</v>
      </c>
      <c r="C35" s="477" t="s">
        <v>520</v>
      </c>
      <c r="D35" s="477"/>
      <c r="E35" s="1019">
        <v>4.3999999999999997E-2</v>
      </c>
      <c r="F35" s="538"/>
      <c r="G35" s="1020">
        <f>ROUND((Attach11!D38+Attach11!G38+0.5*(Attach11!E38-Attach11!F38)),0)</f>
        <v>354372</v>
      </c>
      <c r="H35" s="990">
        <f>ROUND(E35*G35,0)</f>
        <v>15592</v>
      </c>
      <c r="I35" s="991"/>
      <c r="J35" s="1021">
        <v>4.3999999999999997E-2</v>
      </c>
      <c r="K35" s="1018">
        <f>Attach11!I38</f>
        <v>0</v>
      </c>
      <c r="L35" s="1023">
        <f>Attach11!N38-Attach11!I38</f>
        <v>354372</v>
      </c>
      <c r="M35" s="990">
        <f>ROUND(J35*K35,0)</f>
        <v>0</v>
      </c>
      <c r="N35" s="990">
        <f>ROUND(J35*L35,0)</f>
        <v>15592</v>
      </c>
      <c r="O35" s="800">
        <f>M35+N35</f>
        <v>15592</v>
      </c>
      <c r="P35" s="336"/>
      <c r="Q35" s="299"/>
    </row>
    <row r="36" spans="1:17" x14ac:dyDescent="0.25">
      <c r="A36" s="299"/>
      <c r="B36" s="506">
        <v>326</v>
      </c>
      <c r="C36" s="477" t="s">
        <v>521</v>
      </c>
      <c r="D36" s="477"/>
      <c r="E36" s="1019">
        <f>Data!C129</f>
        <v>0</v>
      </c>
      <c r="F36" s="538"/>
      <c r="G36" s="1020">
        <f>ROUND((Attach11!D39+Attach11!G39+0.5*(Attach11!E39-Attach11!F39)),0)</f>
        <v>0</v>
      </c>
      <c r="H36" s="990">
        <f>ROUND(E36*G36,0)</f>
        <v>0</v>
      </c>
      <c r="I36" s="991"/>
      <c r="J36" s="1021">
        <v>4.3999999999999997E-2</v>
      </c>
      <c r="K36" s="1018">
        <f>Attach11!I39</f>
        <v>0</v>
      </c>
      <c r="L36" s="1023">
        <f>Attach11!N39-Attach11!I39</f>
        <v>0</v>
      </c>
      <c r="M36" s="990">
        <f>ROUND(J36*K36,0)</f>
        <v>0</v>
      </c>
      <c r="N36" s="990">
        <f>ROUND(J36*L36,0)</f>
        <v>0</v>
      </c>
      <c r="O36" s="800">
        <f>M36+N36</f>
        <v>0</v>
      </c>
      <c r="P36" s="336"/>
      <c r="Q36" s="299"/>
    </row>
    <row r="37" spans="1:17" x14ac:dyDescent="0.25">
      <c r="A37" s="299"/>
      <c r="B37" s="506">
        <v>328</v>
      </c>
      <c r="C37" s="477" t="s">
        <v>522</v>
      </c>
      <c r="D37" s="477"/>
      <c r="E37" s="1019">
        <v>4.3999999999999997E-2</v>
      </c>
      <c r="F37" s="538"/>
      <c r="G37" s="1020">
        <f>ROUND((Attach11!D40+Attach11!G40+0.5*(Attach11!E40-Attach11!F40)),0)</f>
        <v>2100</v>
      </c>
      <c r="H37" s="1034">
        <f>ROUND(E37*G37,0)</f>
        <v>92</v>
      </c>
      <c r="I37" s="991"/>
      <c r="J37" s="1021">
        <v>4.3999999999999997E-2</v>
      </c>
      <c r="K37" s="1018">
        <f>Attach11!I40</f>
        <v>0</v>
      </c>
      <c r="L37" s="1023">
        <f>Attach11!N40-Attach11!I40</f>
        <v>2100</v>
      </c>
      <c r="M37" s="990">
        <f>ROUND(J37*K37,0)</f>
        <v>0</v>
      </c>
      <c r="N37" s="990">
        <f>ROUND(J37*L37,0)</f>
        <v>92</v>
      </c>
      <c r="O37" s="1035">
        <f>M37+N37</f>
        <v>92</v>
      </c>
      <c r="P37" s="336"/>
      <c r="Q37" s="299"/>
    </row>
    <row r="38" spans="1:17" ht="15.75" customHeight="1" x14ac:dyDescent="0.25">
      <c r="A38" s="299"/>
      <c r="B38" s="506"/>
      <c r="C38" s="477"/>
      <c r="D38" s="477"/>
      <c r="E38" s="538"/>
      <c r="F38" s="538"/>
      <c r="G38" s="538"/>
      <c r="H38" s="1002"/>
      <c r="I38" s="991"/>
      <c r="J38" s="992"/>
      <c r="K38" s="480"/>
      <c r="L38" s="538"/>
      <c r="M38" s="538"/>
      <c r="N38" s="538"/>
      <c r="O38" s="1002"/>
      <c r="P38" s="336"/>
      <c r="Q38" s="299"/>
    </row>
    <row r="39" spans="1:17" x14ac:dyDescent="0.25">
      <c r="A39" s="299"/>
      <c r="B39" s="506"/>
      <c r="C39" s="477" t="s">
        <v>523</v>
      </c>
      <c r="D39" s="477"/>
      <c r="E39" s="538"/>
      <c r="F39" s="538"/>
      <c r="G39" s="538"/>
      <c r="H39" s="993">
        <f>SUM(H32:H37)</f>
        <v>21888</v>
      </c>
      <c r="I39" s="991"/>
      <c r="J39" s="992"/>
      <c r="K39" s="480"/>
      <c r="L39" s="538"/>
      <c r="M39" s="538"/>
      <c r="N39" s="538"/>
      <c r="O39" s="993">
        <f>SUM(O32:O37)</f>
        <v>21888</v>
      </c>
      <c r="P39" s="336"/>
      <c r="Q39" s="299"/>
    </row>
    <row r="40" spans="1:17" x14ac:dyDescent="0.25">
      <c r="A40" s="299"/>
      <c r="B40" s="506"/>
      <c r="C40" s="477"/>
      <c r="D40" s="477"/>
      <c r="E40" s="538"/>
      <c r="F40" s="538"/>
      <c r="G40" s="538"/>
      <c r="H40" s="1002"/>
      <c r="I40" s="991"/>
      <c r="J40" s="992"/>
      <c r="K40" s="480"/>
      <c r="L40" s="538"/>
      <c r="M40" s="538"/>
      <c r="N40" s="538"/>
      <c r="O40" s="1014"/>
      <c r="P40" s="336"/>
      <c r="Q40" s="299"/>
    </row>
    <row r="41" spans="1:17" x14ac:dyDescent="0.25">
      <c r="A41" s="299"/>
      <c r="B41" s="506"/>
      <c r="C41" s="536" t="s">
        <v>524</v>
      </c>
      <c r="D41" s="536"/>
      <c r="E41" s="480" t="s">
        <v>259</v>
      </c>
      <c r="F41" s="480"/>
      <c r="G41" s="477"/>
      <c r="H41" s="1002"/>
      <c r="I41" s="991"/>
      <c r="J41" s="970"/>
      <c r="K41" s="480"/>
      <c r="L41" s="480"/>
      <c r="M41" s="480"/>
      <c r="N41" s="480" t="s">
        <v>259</v>
      </c>
      <c r="O41" s="800" t="s">
        <v>259</v>
      </c>
      <c r="P41" s="336"/>
      <c r="Q41" s="299"/>
    </row>
    <row r="42" spans="1:17" x14ac:dyDescent="0.25">
      <c r="A42" s="299"/>
      <c r="B42" s="506">
        <v>330</v>
      </c>
      <c r="C42" s="477" t="s">
        <v>510</v>
      </c>
      <c r="D42" s="477"/>
      <c r="E42" s="1019" t="s">
        <v>571</v>
      </c>
      <c r="F42" s="538"/>
      <c r="G42" s="969" t="s">
        <v>571</v>
      </c>
      <c r="H42" s="1014" t="s">
        <v>571</v>
      </c>
      <c r="I42" s="994"/>
      <c r="J42" s="995" t="s">
        <v>571</v>
      </c>
      <c r="K42" s="1024" t="s">
        <v>571</v>
      </c>
      <c r="L42" s="994" t="s">
        <v>571</v>
      </c>
      <c r="M42" s="969" t="s">
        <v>571</v>
      </c>
      <c r="N42" s="969" t="s">
        <v>571</v>
      </c>
      <c r="O42" s="1014" t="s">
        <v>571</v>
      </c>
      <c r="P42" s="336"/>
      <c r="Q42" s="299"/>
    </row>
    <row r="43" spans="1:17" x14ac:dyDescent="0.25">
      <c r="A43" s="299"/>
      <c r="B43" s="506">
        <v>331</v>
      </c>
      <c r="C43" s="477" t="s">
        <v>511</v>
      </c>
      <c r="D43" s="477"/>
      <c r="E43" s="1019">
        <f>Data!C132</f>
        <v>0</v>
      </c>
      <c r="F43" s="538"/>
      <c r="G43" s="1020">
        <f>ROUND((Attach11!D46+Attach11!G46+0.5*(Attach11!E46-Attach11!F46)),0)</f>
        <v>0</v>
      </c>
      <c r="H43" s="989">
        <f>ROUND(E43*G43,0)</f>
        <v>0</v>
      </c>
      <c r="I43" s="991"/>
      <c r="J43" s="1021">
        <v>3.2000000000000001E-2</v>
      </c>
      <c r="K43" s="1022">
        <f>Attach11!I46</f>
        <v>0</v>
      </c>
      <c r="L43" s="1020">
        <f>Attach11!N46-Attach11!I46</f>
        <v>0</v>
      </c>
      <c r="M43" s="989">
        <f>ROUND(J43*K43,0)</f>
        <v>0</v>
      </c>
      <c r="N43" s="989">
        <f>ROUND(J43*L43,0)</f>
        <v>0</v>
      </c>
      <c r="O43" s="1014">
        <f>M43+N43</f>
        <v>0</v>
      </c>
      <c r="P43" s="336"/>
      <c r="Q43" s="299"/>
    </row>
    <row r="44" spans="1:17" x14ac:dyDescent="0.25">
      <c r="A44" s="299"/>
      <c r="B44" s="506">
        <v>332</v>
      </c>
      <c r="C44" s="477" t="s">
        <v>525</v>
      </c>
      <c r="D44" s="477"/>
      <c r="E44" s="1019">
        <f>Data!C133</f>
        <v>0</v>
      </c>
      <c r="F44" s="538"/>
      <c r="G44" s="1020">
        <f>ROUND((Attach11!D47+Attach11!G47+0.5*(Attach11!E47-Attach11!F47)),0)</f>
        <v>0</v>
      </c>
      <c r="H44" s="990">
        <f>ROUND(E44*G44,0)</f>
        <v>0</v>
      </c>
      <c r="I44" s="991"/>
      <c r="J44" s="1021">
        <v>3.3000000000000002E-2</v>
      </c>
      <c r="K44" s="1018">
        <f>Attach11!I47</f>
        <v>0</v>
      </c>
      <c r="L44" s="1023">
        <f>Attach11!N47-Attach11!I47</f>
        <v>0</v>
      </c>
      <c r="M44" s="990">
        <f>ROUND(J44*K44,0)</f>
        <v>0</v>
      </c>
      <c r="N44" s="990">
        <f>ROUND(J44*L44,0)</f>
        <v>0</v>
      </c>
      <c r="O44" s="800">
        <f>M44+N44</f>
        <v>0</v>
      </c>
      <c r="P44" s="336"/>
      <c r="Q44" s="299"/>
    </row>
    <row r="45" spans="1:17" x14ac:dyDescent="0.25">
      <c r="A45" s="299"/>
      <c r="B45" s="506">
        <v>333</v>
      </c>
      <c r="C45" s="477" t="s">
        <v>526</v>
      </c>
      <c r="D45" s="477"/>
      <c r="E45" s="1019">
        <f>Data!C134</f>
        <v>0</v>
      </c>
      <c r="F45" s="538"/>
      <c r="G45" s="1020">
        <f>ROUND((Attach11!D48+Attach11!G48+0.5*(Attach11!E48-Attach11!F48)),0)</f>
        <v>0</v>
      </c>
      <c r="H45" s="990">
        <f>ROUND(E45*G45,0)</f>
        <v>0</v>
      </c>
      <c r="I45" s="991"/>
      <c r="J45" s="1021">
        <v>0.06</v>
      </c>
      <c r="K45" s="1018">
        <f>Attach11!I48</f>
        <v>0</v>
      </c>
      <c r="L45" s="1023">
        <f>Attach11!N48-Attach11!I48</f>
        <v>0</v>
      </c>
      <c r="M45" s="990">
        <f>ROUND(J45*K45,0)</f>
        <v>0</v>
      </c>
      <c r="N45" s="990">
        <f>ROUND(J45*L45,0)</f>
        <v>0</v>
      </c>
      <c r="O45" s="800">
        <f>M45+N45</f>
        <v>0</v>
      </c>
      <c r="P45" s="336"/>
      <c r="Q45" s="299"/>
    </row>
    <row r="46" spans="1:17" x14ac:dyDescent="0.25">
      <c r="A46" s="299"/>
      <c r="B46" s="506">
        <v>334</v>
      </c>
      <c r="C46" s="477" t="s">
        <v>527</v>
      </c>
      <c r="D46" s="477"/>
      <c r="E46" s="1019">
        <v>0.06</v>
      </c>
      <c r="F46" s="538"/>
      <c r="G46" s="1020">
        <f>ROUND((Attach11!D49+Attach11!G49+0.5*(Attach11!E49-Attach11!F49)),0)</f>
        <v>14098</v>
      </c>
      <c r="H46" s="1034">
        <f>ROUND(E46*G46,0)</f>
        <v>846</v>
      </c>
      <c r="I46" s="991"/>
      <c r="J46" s="1021">
        <v>0.06</v>
      </c>
      <c r="K46" s="1018">
        <f>Attach11!I49</f>
        <v>0</v>
      </c>
      <c r="L46" s="1023">
        <f>Attach11!N49-Attach11!I49</f>
        <v>14098</v>
      </c>
      <c r="M46" s="990">
        <f>ROUND(J46*K46,0)</f>
        <v>0</v>
      </c>
      <c r="N46" s="990">
        <f>ROUND(J46*L46,0)</f>
        <v>846</v>
      </c>
      <c r="O46" s="1035">
        <f>M46+N46</f>
        <v>846</v>
      </c>
      <c r="P46" s="336"/>
      <c r="Q46" s="299"/>
    </row>
    <row r="47" spans="1:17" x14ac:dyDescent="0.25">
      <c r="A47" s="299"/>
      <c r="B47" s="506"/>
      <c r="C47" s="477"/>
      <c r="D47" s="477"/>
      <c r="E47" s="538"/>
      <c r="F47" s="538"/>
      <c r="G47" s="538"/>
      <c r="H47" s="991"/>
      <c r="I47" s="991"/>
      <c r="J47" s="992"/>
      <c r="K47" s="480"/>
      <c r="L47" s="538"/>
      <c r="M47" s="538"/>
      <c r="N47" s="538"/>
      <c r="O47" s="991"/>
      <c r="P47" s="336"/>
      <c r="Q47" s="299"/>
    </row>
    <row r="48" spans="1:17" x14ac:dyDescent="0.25">
      <c r="A48" s="299"/>
      <c r="B48" s="506"/>
      <c r="C48" s="477" t="s">
        <v>528</v>
      </c>
      <c r="D48" s="477"/>
      <c r="E48" s="538"/>
      <c r="F48" s="538"/>
      <c r="G48" s="538"/>
      <c r="H48" s="993">
        <f>SUM(H42:H46)</f>
        <v>846</v>
      </c>
      <c r="I48" s="991"/>
      <c r="J48" s="992"/>
      <c r="K48" s="480"/>
      <c r="L48" s="538"/>
      <c r="M48" s="538"/>
      <c r="N48" s="538"/>
      <c r="O48" s="993">
        <f>SUM(O42:O46)</f>
        <v>846</v>
      </c>
      <c r="P48" s="336"/>
      <c r="Q48" s="299"/>
    </row>
    <row r="49" spans="1:17" ht="13.8" thickBot="1" x14ac:dyDescent="0.3">
      <c r="A49" s="299"/>
      <c r="B49" s="634"/>
      <c r="C49" s="606"/>
      <c r="D49" s="606"/>
      <c r="E49" s="1025"/>
      <c r="F49" s="1025"/>
      <c r="G49" s="607"/>
      <c r="H49" s="1026"/>
      <c r="I49" s="1026"/>
      <c r="J49" s="1027"/>
      <c r="K49" s="1028"/>
      <c r="L49" s="1025"/>
      <c r="M49" s="1025"/>
      <c r="N49" s="1025"/>
      <c r="O49" s="1026"/>
      <c r="P49" s="343"/>
      <c r="Q49" s="299"/>
    </row>
    <row r="50" spans="1:17" ht="13.8" thickTop="1" x14ac:dyDescent="0.25">
      <c r="A50" s="299"/>
      <c r="B50" s="520"/>
      <c r="C50" s="79"/>
      <c r="D50" s="79"/>
      <c r="E50" s="78"/>
      <c r="F50" s="78"/>
      <c r="G50" s="78"/>
      <c r="H50" s="967"/>
      <c r="I50" s="966"/>
      <c r="J50" s="676"/>
      <c r="K50" s="184"/>
      <c r="L50" s="186"/>
      <c r="M50" s="186"/>
      <c r="N50" s="186"/>
      <c r="O50" s="466"/>
      <c r="P50" s="299"/>
      <c r="Q50" s="299"/>
    </row>
    <row r="51" spans="1:17" x14ac:dyDescent="0.25">
      <c r="A51" s="299"/>
      <c r="B51" s="520"/>
      <c r="C51" s="79"/>
      <c r="D51" s="79"/>
      <c r="E51" s="78"/>
      <c r="F51" s="78"/>
      <c r="G51" s="78"/>
      <c r="H51" s="967"/>
      <c r="I51" s="966"/>
      <c r="J51" s="676"/>
      <c r="K51" s="184"/>
      <c r="L51" s="186"/>
      <c r="M51" s="186"/>
      <c r="N51" s="186"/>
      <c r="O51" s="466"/>
      <c r="P51" s="299"/>
      <c r="Q51" s="299"/>
    </row>
    <row r="52" spans="1:17" x14ac:dyDescent="0.25">
      <c r="A52" s="299"/>
      <c r="B52" s="953" t="str">
        <f>B1</f>
        <v>2023 Test Year</v>
      </c>
      <c r="C52" s="1038"/>
      <c r="D52" s="2462" t="str">
        <f>Utility</f>
        <v>Cleveland Water Utility</v>
      </c>
      <c r="E52" s="2462"/>
      <c r="F52" s="2462"/>
      <c r="G52" s="2462"/>
      <c r="H52" s="2462"/>
      <c r="I52" s="2462"/>
      <c r="J52" s="2462"/>
      <c r="K52" s="2462"/>
      <c r="L52" s="2462"/>
      <c r="M52" s="2462"/>
      <c r="N52" s="1038"/>
      <c r="O52" s="1038"/>
      <c r="P52" s="769" t="str">
        <f>P1</f>
        <v>ATTACHMENT 12</v>
      </c>
      <c r="Q52" s="299"/>
    </row>
    <row r="53" spans="1:17" ht="15.75" customHeight="1" x14ac:dyDescent="0.25">
      <c r="A53" s="299"/>
      <c r="B53" s="974"/>
      <c r="C53" s="1039"/>
      <c r="D53" s="2408" t="s">
        <v>559</v>
      </c>
      <c r="E53" s="2408"/>
      <c r="F53" s="2408"/>
      <c r="G53" s="2408"/>
      <c r="H53" s="2408"/>
      <c r="I53" s="2408"/>
      <c r="J53" s="2408"/>
      <c r="K53" s="2408"/>
      <c r="L53" s="2408"/>
      <c r="M53" s="2408"/>
      <c r="N53" s="1039"/>
      <c r="O53" s="1039"/>
      <c r="P53" s="769" t="s">
        <v>467</v>
      </c>
      <c r="Q53" s="299"/>
    </row>
    <row r="54" spans="1:17" ht="15.75" customHeight="1" thickBot="1" x14ac:dyDescent="0.3">
      <c r="A54" s="299"/>
      <c r="B54" s="2564" t="str">
        <f>CONCATENATE("Estimated for Test Year ",TestYear)</f>
        <v>Estimated for Test Year 2023</v>
      </c>
      <c r="C54" s="2564"/>
      <c r="D54" s="2564"/>
      <c r="E54" s="2564"/>
      <c r="F54" s="2564"/>
      <c r="G54" s="2564"/>
      <c r="H54" s="2564"/>
      <c r="I54" s="2564"/>
      <c r="J54" s="2564"/>
      <c r="K54" s="2564"/>
      <c r="L54" s="2564"/>
      <c r="M54" s="2564"/>
      <c r="N54" s="2564"/>
      <c r="O54" s="2564"/>
      <c r="P54" s="2564"/>
      <c r="Q54" s="299"/>
    </row>
    <row r="55" spans="1:17" ht="13.8" thickTop="1" x14ac:dyDescent="0.25">
      <c r="A55" s="299"/>
      <c r="B55" s="789"/>
      <c r="C55" s="1011"/>
      <c r="D55" s="1011"/>
      <c r="E55" s="1011"/>
      <c r="F55" s="1011"/>
      <c r="G55" s="1011"/>
      <c r="H55" s="1029"/>
      <c r="I55" s="1029"/>
      <c r="J55" s="1030"/>
      <c r="K55" s="1031"/>
      <c r="L55" s="1032"/>
      <c r="M55" s="1032"/>
      <c r="N55" s="1011"/>
      <c r="O55" s="1012"/>
      <c r="P55" s="335"/>
      <c r="Q55" s="299"/>
    </row>
    <row r="56" spans="1:17" x14ac:dyDescent="0.25">
      <c r="A56" s="299"/>
      <c r="B56" s="963"/>
      <c r="C56" s="519" t="s">
        <v>442</v>
      </c>
      <c r="D56" s="519"/>
      <c r="E56" s="591" t="str">
        <f>E13</f>
        <v>Estimated 2022</v>
      </c>
      <c r="F56" s="776"/>
      <c r="G56" s="591"/>
      <c r="H56" s="1003"/>
      <c r="I56" s="1004"/>
      <c r="J56" s="2561" t="str">
        <f>J13</f>
        <v>Test Year 2023</v>
      </c>
      <c r="K56" s="2591"/>
      <c r="L56" s="2591"/>
      <c r="M56" s="2591"/>
      <c r="N56" s="2591"/>
      <c r="O56" s="2591"/>
      <c r="P56" s="336"/>
      <c r="Q56" s="299"/>
    </row>
    <row r="57" spans="1:17" ht="15" customHeight="1" x14ac:dyDescent="0.25">
      <c r="A57" s="299"/>
      <c r="B57" s="792" t="s">
        <v>443</v>
      </c>
      <c r="C57" s="662"/>
      <c r="D57" s="662"/>
      <c r="E57" s="2592" t="str">
        <f>E14</f>
        <v>(per Attach. 11)</v>
      </c>
      <c r="F57" s="2592"/>
      <c r="G57" s="2592"/>
      <c r="H57" s="2592"/>
      <c r="I57" s="1014"/>
      <c r="J57" s="2592" t="str">
        <f>J14</f>
        <v>(per Attachment 11)</v>
      </c>
      <c r="K57" s="2592"/>
      <c r="L57" s="2592"/>
      <c r="M57" s="2592"/>
      <c r="N57" s="2592"/>
      <c r="O57" s="2592"/>
      <c r="P57" s="336"/>
      <c r="Q57" s="299"/>
    </row>
    <row r="58" spans="1:17" x14ac:dyDescent="0.25">
      <c r="A58" s="299"/>
      <c r="B58" s="792" t="s">
        <v>444</v>
      </c>
      <c r="C58" s="592" t="s">
        <v>491</v>
      </c>
      <c r="D58" s="592"/>
      <c r="E58" s="1015" t="str">
        <f>E15</f>
        <v>Depr.</v>
      </c>
      <c r="F58" s="979"/>
      <c r="G58" s="592" t="str">
        <f>G15</f>
        <v>Avg. Depreciable</v>
      </c>
      <c r="H58" s="592" t="str">
        <f>H15</f>
        <v>Depreciation</v>
      </c>
      <c r="I58" s="1014"/>
      <c r="J58" s="1006" t="str">
        <f>J15</f>
        <v>Depr.</v>
      </c>
      <c r="K58" s="2551" t="str">
        <f>K15</f>
        <v xml:space="preserve"> Average Depreciable Balance</v>
      </c>
      <c r="L58" s="2590"/>
      <c r="M58" s="2551" t="str">
        <f>M15</f>
        <v>Depreciation Accrual</v>
      </c>
      <c r="N58" s="2552"/>
      <c r="O58" s="777" t="str">
        <f>O15</f>
        <v>Test Year</v>
      </c>
      <c r="P58" s="336"/>
      <c r="Q58" s="299"/>
    </row>
    <row r="59" spans="1:17" ht="17.25" customHeight="1" x14ac:dyDescent="0.25">
      <c r="A59" s="299"/>
      <c r="B59" s="964"/>
      <c r="C59" s="1005"/>
      <c r="D59" s="1005"/>
      <c r="E59" s="773" t="str">
        <f>E16</f>
        <v>Rate (A)</v>
      </c>
      <c r="F59" s="983"/>
      <c r="G59" s="955" t="str">
        <f>G16</f>
        <v>Balance</v>
      </c>
      <c r="H59" s="955" t="str">
        <f>H16</f>
        <v>Accrual</v>
      </c>
      <c r="I59" s="705"/>
      <c r="J59" s="788" t="str">
        <f>J16</f>
        <v>Rate (B)</v>
      </c>
      <c r="K59" s="984" t="str">
        <f>K16</f>
        <v>Major</v>
      </c>
      <c r="L59" s="956" t="str">
        <f>L16</f>
        <v>Routine</v>
      </c>
      <c r="M59" s="984" t="str">
        <f>M16</f>
        <v>Major</v>
      </c>
      <c r="N59" s="956" t="str">
        <f>N16</f>
        <v>Routine</v>
      </c>
      <c r="O59" s="955" t="str">
        <f>O16</f>
        <v>Total</v>
      </c>
      <c r="P59" s="336"/>
      <c r="Q59" s="299"/>
    </row>
    <row r="60" spans="1:17" ht="17.25" customHeight="1" x14ac:dyDescent="0.25">
      <c r="A60" s="299"/>
      <c r="B60" s="792"/>
      <c r="C60" s="978" t="s">
        <v>529</v>
      </c>
      <c r="D60" s="978"/>
      <c r="E60" s="519"/>
      <c r="F60" s="519"/>
      <c r="G60" s="519"/>
      <c r="H60" s="1002"/>
      <c r="I60" s="1002"/>
      <c r="J60" s="653"/>
      <c r="K60" s="478"/>
      <c r="L60" s="519"/>
      <c r="M60" s="519"/>
      <c r="N60" s="519"/>
      <c r="O60" s="949"/>
      <c r="P60" s="336"/>
      <c r="Q60" s="299"/>
    </row>
    <row r="61" spans="1:17" ht="17.25" customHeight="1" x14ac:dyDescent="0.25">
      <c r="A61" s="299"/>
      <c r="B61" s="506">
        <v>340</v>
      </c>
      <c r="C61" s="477" t="s">
        <v>510</v>
      </c>
      <c r="D61" s="477"/>
      <c r="E61" s="1019" t="s">
        <v>571</v>
      </c>
      <c r="F61" s="538"/>
      <c r="G61" s="969" t="s">
        <v>571</v>
      </c>
      <c r="H61" s="994" t="s">
        <v>571</v>
      </c>
      <c r="I61" s="994"/>
      <c r="J61" s="995" t="s">
        <v>571</v>
      </c>
      <c r="K61" s="1024" t="s">
        <v>571</v>
      </c>
      <c r="L61" s="994" t="s">
        <v>571</v>
      </c>
      <c r="M61" s="969" t="s">
        <v>571</v>
      </c>
      <c r="N61" s="969" t="s">
        <v>571</v>
      </c>
      <c r="O61" s="994" t="s">
        <v>571</v>
      </c>
      <c r="P61" s="336"/>
      <c r="Q61" s="299"/>
    </row>
    <row r="62" spans="1:17" x14ac:dyDescent="0.25">
      <c r="A62" s="299"/>
      <c r="B62" s="506">
        <v>341</v>
      </c>
      <c r="C62" s="477" t="s">
        <v>511</v>
      </c>
      <c r="D62" s="477"/>
      <c r="E62" s="1019">
        <f>Data!C137</f>
        <v>0</v>
      </c>
      <c r="F62" s="538"/>
      <c r="G62" s="1020">
        <f>ROUND((Attach11!D65+Attach11!G65+0.5*(Attach11!E65-Attach11!F65)),0)</f>
        <v>0</v>
      </c>
      <c r="H62" s="989">
        <f t="shared" ref="H62:H68" si="4">ROUND(E62*G62,0)</f>
        <v>0</v>
      </c>
      <c r="I62" s="991"/>
      <c r="J62" s="1021">
        <v>3.2000000000000001E-2</v>
      </c>
      <c r="K62" s="1022">
        <f>Attach11!I65</f>
        <v>0</v>
      </c>
      <c r="L62" s="1020">
        <f>Attach11!N65-Attach11!I65</f>
        <v>0</v>
      </c>
      <c r="M62" s="989">
        <f t="shared" ref="M62:M68" si="5">ROUND(J62*K62,0)</f>
        <v>0</v>
      </c>
      <c r="N62" s="989">
        <f t="shared" ref="N62:N68" si="6">ROUND(J62*L62,0)</f>
        <v>0</v>
      </c>
      <c r="O62" s="1014">
        <f t="shared" ref="O62:O68" si="7">M62+N62</f>
        <v>0</v>
      </c>
      <c r="P62" s="336"/>
      <c r="Q62" s="299"/>
    </row>
    <row r="63" spans="1:17" x14ac:dyDescent="0.25">
      <c r="A63" s="299"/>
      <c r="B63" s="506">
        <v>342</v>
      </c>
      <c r="C63" s="477" t="s">
        <v>530</v>
      </c>
      <c r="D63" s="477"/>
      <c r="E63" s="1019">
        <v>1.9E-2</v>
      </c>
      <c r="F63" s="538"/>
      <c r="G63" s="1020">
        <f>ROUND((Attach11!D66+Attach11!G66+0.5*(Attach11!E66-Attach11!F66)),0)</f>
        <v>76030</v>
      </c>
      <c r="H63" s="990">
        <f t="shared" si="4"/>
        <v>1445</v>
      </c>
      <c r="I63" s="991"/>
      <c r="J63" s="1021">
        <v>1.9E-2</v>
      </c>
      <c r="K63" s="1018">
        <f>Attach11!I66</f>
        <v>0</v>
      </c>
      <c r="L63" s="1023">
        <f>Attach11!N66-Attach11!I66</f>
        <v>76030</v>
      </c>
      <c r="M63" s="990">
        <f t="shared" si="5"/>
        <v>0</v>
      </c>
      <c r="N63" s="990">
        <f t="shared" si="6"/>
        <v>1445</v>
      </c>
      <c r="O63" s="800">
        <f t="shared" si="7"/>
        <v>1445</v>
      </c>
      <c r="P63" s="336"/>
      <c r="Q63" s="299"/>
    </row>
    <row r="64" spans="1:17" x14ac:dyDescent="0.25">
      <c r="A64" s="299"/>
      <c r="B64" s="506">
        <v>343</v>
      </c>
      <c r="C64" s="477" t="s">
        <v>531</v>
      </c>
      <c r="D64" s="477"/>
      <c r="E64" s="1019">
        <v>1.2999999999999999E-2</v>
      </c>
      <c r="F64" s="538"/>
      <c r="G64" s="1020">
        <f>ROUND((Attach11!D67+Attach11!G67+0.5*(Attach11!E67-Attach11!F67)),0)</f>
        <v>787341</v>
      </c>
      <c r="H64" s="990">
        <f t="shared" si="4"/>
        <v>10235</v>
      </c>
      <c r="I64" s="991"/>
      <c r="J64" s="1021">
        <v>1.2999999999999999E-2</v>
      </c>
      <c r="K64" s="1018">
        <f>Attach11!I67</f>
        <v>0</v>
      </c>
      <c r="L64" s="1023">
        <f>Attach11!N67-Attach11!I67</f>
        <v>1129620</v>
      </c>
      <c r="M64" s="990">
        <f t="shared" si="5"/>
        <v>0</v>
      </c>
      <c r="N64" s="990">
        <f t="shared" si="6"/>
        <v>14685</v>
      </c>
      <c r="O64" s="800">
        <f t="shared" si="7"/>
        <v>14685</v>
      </c>
      <c r="P64" s="336"/>
      <c r="Q64" s="299"/>
    </row>
    <row r="65" spans="1:17" x14ac:dyDescent="0.25">
      <c r="A65" s="299"/>
      <c r="B65" s="506">
        <v>345</v>
      </c>
      <c r="C65" s="477" t="s">
        <v>532</v>
      </c>
      <c r="D65" s="477"/>
      <c r="E65" s="1019">
        <v>2.9000000000000001E-2</v>
      </c>
      <c r="F65" s="538"/>
      <c r="G65" s="1020">
        <f>ROUND((Attach11!D68+Attach11!G68+0.5*(Attach11!E68-Attach11!F68)),0)</f>
        <v>97539</v>
      </c>
      <c r="H65" s="990">
        <f t="shared" si="4"/>
        <v>2829</v>
      </c>
      <c r="I65" s="991"/>
      <c r="J65" s="1021">
        <v>2.9000000000000001E-2</v>
      </c>
      <c r="K65" s="1018">
        <f>Attach11!I68</f>
        <v>0</v>
      </c>
      <c r="L65" s="1023">
        <f>Attach11!N68-Attach11!I68</f>
        <v>215910</v>
      </c>
      <c r="M65" s="990">
        <f t="shared" si="5"/>
        <v>0</v>
      </c>
      <c r="N65" s="990">
        <f t="shared" si="6"/>
        <v>6261</v>
      </c>
      <c r="O65" s="800">
        <f t="shared" si="7"/>
        <v>6261</v>
      </c>
      <c r="P65" s="336"/>
      <c r="Q65" s="299"/>
    </row>
    <row r="66" spans="1:17" x14ac:dyDescent="0.25">
      <c r="A66" s="299"/>
      <c r="B66" s="506">
        <v>346</v>
      </c>
      <c r="C66" s="477" t="s">
        <v>533</v>
      </c>
      <c r="D66" s="477"/>
      <c r="E66" s="1019">
        <v>5.5E-2</v>
      </c>
      <c r="F66" s="538"/>
      <c r="G66" s="1020">
        <f>ROUND((Attach11!D69+Attach11!G69+0.5*(Attach11!E69-Attach11!F69)),0)</f>
        <v>151202</v>
      </c>
      <c r="H66" s="990">
        <f t="shared" si="4"/>
        <v>8316</v>
      </c>
      <c r="I66" s="991"/>
      <c r="J66" s="1021">
        <v>5.5E-2</v>
      </c>
      <c r="K66" s="1018">
        <f>Attach11!I69</f>
        <v>0</v>
      </c>
      <c r="L66" s="1023">
        <f>Attach11!N69-Attach11!I69</f>
        <v>198797</v>
      </c>
      <c r="M66" s="990">
        <f t="shared" si="5"/>
        <v>0</v>
      </c>
      <c r="N66" s="990">
        <f t="shared" si="6"/>
        <v>10934</v>
      </c>
      <c r="O66" s="800">
        <f t="shared" si="7"/>
        <v>10934</v>
      </c>
      <c r="P66" s="336"/>
      <c r="Q66" s="299"/>
    </row>
    <row r="67" spans="1:17" x14ac:dyDescent="0.25">
      <c r="A67" s="299"/>
      <c r="B67" s="506">
        <v>348</v>
      </c>
      <c r="C67" s="477" t="s">
        <v>255</v>
      </c>
      <c r="D67" s="477"/>
      <c r="E67" s="1019">
        <v>2.1999999999999999E-2</v>
      </c>
      <c r="F67" s="538"/>
      <c r="G67" s="1020">
        <f>ROUND((Attach11!D70+Attach11!G70+0.5*(Attach11!E70-Attach11!F70)),0)</f>
        <v>187776</v>
      </c>
      <c r="H67" s="990">
        <f t="shared" si="4"/>
        <v>4131</v>
      </c>
      <c r="I67" s="991"/>
      <c r="J67" s="1021">
        <v>2.1999999999999999E-2</v>
      </c>
      <c r="K67" s="1018">
        <f>Attach11!I70</f>
        <v>0</v>
      </c>
      <c r="L67" s="1023">
        <f>Attach11!N70-Attach11!I70</f>
        <v>262297</v>
      </c>
      <c r="M67" s="990">
        <f t="shared" si="5"/>
        <v>0</v>
      </c>
      <c r="N67" s="990">
        <f t="shared" si="6"/>
        <v>5771</v>
      </c>
      <c r="O67" s="800">
        <f t="shared" si="7"/>
        <v>5771</v>
      </c>
      <c r="P67" s="336"/>
      <c r="Q67" s="299"/>
    </row>
    <row r="68" spans="1:17" x14ac:dyDescent="0.25">
      <c r="A68" s="299"/>
      <c r="B68" s="506">
        <v>349</v>
      </c>
      <c r="C68" s="477" t="s">
        <v>534</v>
      </c>
      <c r="D68" s="477"/>
      <c r="E68" s="1019">
        <f>Data!C143</f>
        <v>0</v>
      </c>
      <c r="F68" s="538"/>
      <c r="G68" s="1020">
        <f>ROUND((Attach11!D71+Attach11!G71+0.5*(Attach11!E71-Attach11!F71)),0)</f>
        <v>0</v>
      </c>
      <c r="H68" s="1034">
        <f t="shared" si="4"/>
        <v>0</v>
      </c>
      <c r="I68" s="991"/>
      <c r="J68" s="1021">
        <v>0.05</v>
      </c>
      <c r="K68" s="1018">
        <f>Attach11!I71</f>
        <v>0</v>
      </c>
      <c r="L68" s="1023">
        <f>Attach11!N71-Attach11!I71</f>
        <v>0</v>
      </c>
      <c r="M68" s="990">
        <f t="shared" si="5"/>
        <v>0</v>
      </c>
      <c r="N68" s="990">
        <f t="shared" si="6"/>
        <v>0</v>
      </c>
      <c r="O68" s="1035">
        <f t="shared" si="7"/>
        <v>0</v>
      </c>
      <c r="P68" s="336"/>
      <c r="Q68" s="299"/>
    </row>
    <row r="69" spans="1:17" x14ac:dyDescent="0.25">
      <c r="A69" s="299"/>
      <c r="B69" s="506"/>
      <c r="C69" s="477"/>
      <c r="D69" s="477"/>
      <c r="E69" s="538"/>
      <c r="F69" s="538"/>
      <c r="G69" s="538"/>
      <c r="H69" s="1002"/>
      <c r="I69" s="991"/>
      <c r="J69" s="992"/>
      <c r="K69" s="480"/>
      <c r="L69" s="538"/>
      <c r="M69" s="538"/>
      <c r="N69" s="538"/>
      <c r="O69" s="1002"/>
      <c r="P69" s="336"/>
      <c r="Q69" s="299"/>
    </row>
    <row r="70" spans="1:17" x14ac:dyDescent="0.25">
      <c r="A70" s="299"/>
      <c r="B70" s="506"/>
      <c r="C70" s="477" t="s">
        <v>535</v>
      </c>
      <c r="D70" s="477"/>
      <c r="E70" s="538"/>
      <c r="F70" s="538"/>
      <c r="G70" s="538"/>
      <c r="H70" s="993">
        <f>SUM(H61:H68)</f>
        <v>26956</v>
      </c>
      <c r="I70" s="991"/>
      <c r="J70" s="992"/>
      <c r="K70" s="480"/>
      <c r="L70" s="538"/>
      <c r="M70" s="538"/>
      <c r="N70" s="538"/>
      <c r="O70" s="993">
        <f>SUM(O61:O68)</f>
        <v>39096</v>
      </c>
      <c r="P70" s="336"/>
      <c r="Q70" s="299"/>
    </row>
    <row r="71" spans="1:17" ht="14.25" customHeight="1" x14ac:dyDescent="0.25">
      <c r="A71" s="299"/>
      <c r="B71" s="506"/>
      <c r="C71" s="477"/>
      <c r="D71" s="477"/>
      <c r="E71" s="480" t="s">
        <v>508</v>
      </c>
      <c r="F71" s="480"/>
      <c r="G71" s="477" t="s">
        <v>508</v>
      </c>
      <c r="H71" s="1002" t="s">
        <v>508</v>
      </c>
      <c r="I71" s="991"/>
      <c r="J71" s="535"/>
      <c r="K71" s="480"/>
      <c r="L71" s="477"/>
      <c r="M71" s="477"/>
      <c r="N71" s="477" t="s">
        <v>508</v>
      </c>
      <c r="O71" s="949" t="s">
        <v>508</v>
      </c>
      <c r="P71" s="336"/>
      <c r="Q71" s="299"/>
    </row>
    <row r="72" spans="1:17" ht="10.95" hidden="1" customHeight="1" x14ac:dyDescent="0.25">
      <c r="A72" s="299"/>
      <c r="B72" s="506"/>
      <c r="C72" s="477"/>
      <c r="D72" s="477"/>
      <c r="E72" s="477"/>
      <c r="F72" s="477"/>
      <c r="G72" s="477"/>
      <c r="H72" s="1002"/>
      <c r="I72" s="991"/>
      <c r="J72" s="535"/>
      <c r="K72" s="480"/>
      <c r="L72" s="477"/>
      <c r="M72" s="477"/>
      <c r="N72" s="477"/>
      <c r="O72" s="949"/>
      <c r="P72" s="336"/>
      <c r="Q72" s="299"/>
    </row>
    <row r="73" spans="1:17" x14ac:dyDescent="0.25">
      <c r="A73" s="299"/>
      <c r="B73" s="506"/>
      <c r="C73" s="536" t="s">
        <v>536</v>
      </c>
      <c r="D73" s="536"/>
      <c r="E73" s="480" t="s">
        <v>259</v>
      </c>
      <c r="F73" s="480"/>
      <c r="G73" s="477"/>
      <c r="H73" s="1002"/>
      <c r="I73" s="991"/>
      <c r="J73" s="970"/>
      <c r="K73" s="480"/>
      <c r="L73" s="480"/>
      <c r="M73" s="480"/>
      <c r="N73" s="480" t="s">
        <v>259</v>
      </c>
      <c r="O73" s="800" t="s">
        <v>259</v>
      </c>
      <c r="P73" s="336"/>
      <c r="Q73" s="299"/>
    </row>
    <row r="74" spans="1:17" x14ac:dyDescent="0.25">
      <c r="A74" s="299"/>
      <c r="B74" s="506">
        <v>389</v>
      </c>
      <c r="C74" s="477" t="s">
        <v>510</v>
      </c>
      <c r="D74" s="477"/>
      <c r="E74" s="1019" t="s">
        <v>571</v>
      </c>
      <c r="F74" s="538"/>
      <c r="G74" s="969" t="s">
        <v>571</v>
      </c>
      <c r="H74" s="1014" t="s">
        <v>571</v>
      </c>
      <c r="I74" s="994"/>
      <c r="J74" s="995" t="s">
        <v>571</v>
      </c>
      <c r="K74" s="1024" t="s">
        <v>571</v>
      </c>
      <c r="L74" s="994" t="s">
        <v>571</v>
      </c>
      <c r="M74" s="969" t="s">
        <v>571</v>
      </c>
      <c r="N74" s="969" t="s">
        <v>571</v>
      </c>
      <c r="O74" s="1014" t="s">
        <v>571</v>
      </c>
      <c r="P74" s="336"/>
      <c r="Q74" s="299"/>
    </row>
    <row r="75" spans="1:17" x14ac:dyDescent="0.25">
      <c r="A75" s="299"/>
      <c r="B75" s="506">
        <v>390</v>
      </c>
      <c r="C75" s="477" t="s">
        <v>511</v>
      </c>
      <c r="D75" s="477"/>
      <c r="E75" s="1019">
        <v>2.9000000000000001E-2</v>
      </c>
      <c r="F75" s="538"/>
      <c r="G75" s="1020">
        <f>ROUND((Attach11!D78+Attach11!G78+0.5*(Attach11!E78-Attach11!F78)),0)</f>
        <v>5210</v>
      </c>
      <c r="H75" s="989">
        <f>ROUND(E75*G75,0)</f>
        <v>151</v>
      </c>
      <c r="I75" s="991"/>
      <c r="J75" s="1021">
        <v>2.9000000000000001E-2</v>
      </c>
      <c r="K75" s="1022">
        <f>Attach11!I78</f>
        <v>0</v>
      </c>
      <c r="L75" s="1020">
        <f>Attach11!N78-Attach11!I78</f>
        <v>5210</v>
      </c>
      <c r="M75" s="989">
        <f>ROUND(J75*K75,0)</f>
        <v>0</v>
      </c>
      <c r="N75" s="989">
        <f>ROUND(J75*L75,0)</f>
        <v>151</v>
      </c>
      <c r="O75" s="1014">
        <f>M75+N75</f>
        <v>151</v>
      </c>
      <c r="P75" s="336"/>
      <c r="Q75" s="299"/>
    </row>
    <row r="76" spans="1:17" x14ac:dyDescent="0.25">
      <c r="A76" s="299"/>
      <c r="B76" s="506">
        <v>391</v>
      </c>
      <c r="C76" s="477" t="s">
        <v>537</v>
      </c>
      <c r="D76" s="477"/>
      <c r="E76" s="1019">
        <v>5.8000000000000003E-2</v>
      </c>
      <c r="F76" s="538"/>
      <c r="G76" s="1020">
        <f>ROUND((Attach11!D79+Attach11!G79+0.5*(Attach11!E79-Attach11!F79)),0)</f>
        <v>2500</v>
      </c>
      <c r="H76" s="990">
        <f>ROUND(E76*G76,0)</f>
        <v>145</v>
      </c>
      <c r="I76" s="991"/>
      <c r="J76" s="1021">
        <v>5.8000000000000003E-2</v>
      </c>
      <c r="K76" s="1018">
        <f>Attach11!I79</f>
        <v>0</v>
      </c>
      <c r="L76" s="1023">
        <f>Attach11!N79-Attach11!I79</f>
        <v>2853</v>
      </c>
      <c r="M76" s="990">
        <f>ROUND(J76*K76,0)</f>
        <v>0</v>
      </c>
      <c r="N76" s="990">
        <f>ROUND(J76*L76,0)</f>
        <v>165</v>
      </c>
      <c r="O76" s="800">
        <f>M76+N76</f>
        <v>165</v>
      </c>
      <c r="P76" s="336"/>
      <c r="Q76" s="299"/>
    </row>
    <row r="77" spans="1:17" x14ac:dyDescent="0.25">
      <c r="A77" s="299"/>
      <c r="B77" s="506">
        <v>391.1</v>
      </c>
      <c r="C77" s="477" t="s">
        <v>538</v>
      </c>
      <c r="D77" s="477"/>
      <c r="E77" s="1019">
        <v>0.26700000000000002</v>
      </c>
      <c r="F77" s="538"/>
      <c r="G77" s="1020">
        <f>ROUND((Attach11!D80+Attach11!G80+0.5*(Attach11!E80-Attach11!F80)),0)</f>
        <v>20113</v>
      </c>
      <c r="H77" s="990">
        <f t="shared" ref="H77:H85" si="8">ROUND(E77*G77,0)</f>
        <v>5370</v>
      </c>
      <c r="I77" s="991"/>
      <c r="J77" s="1021">
        <v>0.26700000000000002</v>
      </c>
      <c r="K77" s="1018">
        <f>Attach11!I80</f>
        <v>0</v>
      </c>
      <c r="L77" s="1023">
        <f>Attach11!N80-Attach11!I80</f>
        <v>20318</v>
      </c>
      <c r="M77" s="990">
        <f>ROUND(J77*K77,0)</f>
        <v>0</v>
      </c>
      <c r="N77" s="990">
        <f>ROUND(J77*L77,0)</f>
        <v>5425</v>
      </c>
      <c r="O77" s="800">
        <f>M77+N77</f>
        <v>5425</v>
      </c>
      <c r="P77" s="336"/>
      <c r="Q77" s="299"/>
    </row>
    <row r="78" spans="1:17" x14ac:dyDescent="0.25">
      <c r="A78" s="299"/>
      <c r="B78" s="506">
        <v>392</v>
      </c>
      <c r="C78" s="477" t="s">
        <v>539</v>
      </c>
      <c r="D78" s="477"/>
      <c r="E78" s="1019">
        <v>0.13300000000000001</v>
      </c>
      <c r="F78" s="538"/>
      <c r="G78" s="1020">
        <f>ROUND((Attach11!D81+Attach11!G81+0.5*(Attach11!E81-Attach11!F81)),0)</f>
        <v>21506</v>
      </c>
      <c r="H78" s="990">
        <f t="shared" si="8"/>
        <v>2860</v>
      </c>
      <c r="I78" s="991"/>
      <c r="J78" s="1021">
        <v>0.13300000000000001</v>
      </c>
      <c r="K78" s="1018">
        <f>Attach11!I81</f>
        <v>0</v>
      </c>
      <c r="L78" s="1023">
        <f>Attach11!N81-Attach11!I81</f>
        <v>21506</v>
      </c>
      <c r="M78" s="990">
        <f t="shared" ref="M78:M85" si="9">ROUND(J78*K78,0)</f>
        <v>0</v>
      </c>
      <c r="N78" s="990">
        <f t="shared" ref="N78:N85" si="10">ROUND(J78*L78,0)</f>
        <v>2860</v>
      </c>
      <c r="O78" s="800">
        <f t="shared" ref="O78:O85" si="11">M78+N78</f>
        <v>2860</v>
      </c>
      <c r="P78" s="336"/>
      <c r="Q78" s="299"/>
    </row>
    <row r="79" spans="1:17" x14ac:dyDescent="0.25">
      <c r="A79" s="299"/>
      <c r="B79" s="506">
        <v>393</v>
      </c>
      <c r="C79" s="477" t="s">
        <v>540</v>
      </c>
      <c r="D79" s="477"/>
      <c r="E79" s="1019">
        <f>Data!C149</f>
        <v>0</v>
      </c>
      <c r="F79" s="538"/>
      <c r="G79" s="1020">
        <f>ROUND((Attach11!D82+Attach11!G82+0.5*(Attach11!E82-Attach11!F82)),0)</f>
        <v>0</v>
      </c>
      <c r="H79" s="990">
        <f t="shared" si="8"/>
        <v>0</v>
      </c>
      <c r="I79" s="991"/>
      <c r="J79" s="1021">
        <v>5.8000000000000003E-2</v>
      </c>
      <c r="K79" s="1018">
        <f>Attach11!I82</f>
        <v>0</v>
      </c>
      <c r="L79" s="1023">
        <f>Attach11!N82-Attach11!I82</f>
        <v>0</v>
      </c>
      <c r="M79" s="990">
        <f t="shared" si="9"/>
        <v>0</v>
      </c>
      <c r="N79" s="990">
        <f t="shared" si="10"/>
        <v>0</v>
      </c>
      <c r="O79" s="800">
        <f t="shared" si="11"/>
        <v>0</v>
      </c>
      <c r="P79" s="336"/>
      <c r="Q79" s="299"/>
    </row>
    <row r="80" spans="1:17" x14ac:dyDescent="0.25">
      <c r="A80" s="299"/>
      <c r="B80" s="506">
        <v>394</v>
      </c>
      <c r="C80" s="477" t="s">
        <v>541</v>
      </c>
      <c r="D80" s="477"/>
      <c r="E80" s="1019">
        <v>5.8000000000000003E-2</v>
      </c>
      <c r="F80" s="538"/>
      <c r="G80" s="1020">
        <f>ROUND((Attach11!D83+Attach11!G83+0.5*(Attach11!E83-Attach11!F83)),0)</f>
        <v>11985</v>
      </c>
      <c r="H80" s="990">
        <f t="shared" si="8"/>
        <v>695</v>
      </c>
      <c r="I80" s="991"/>
      <c r="J80" s="1021">
        <v>5.8000000000000003E-2</v>
      </c>
      <c r="K80" s="1018">
        <f>Attach11!I83</f>
        <v>0</v>
      </c>
      <c r="L80" s="1023">
        <f>Attach11!N83-Attach11!I83</f>
        <v>12865</v>
      </c>
      <c r="M80" s="990">
        <f t="shared" si="9"/>
        <v>0</v>
      </c>
      <c r="N80" s="990">
        <f t="shared" si="10"/>
        <v>746</v>
      </c>
      <c r="O80" s="800">
        <f t="shared" si="11"/>
        <v>746</v>
      </c>
      <c r="P80" s="336"/>
      <c r="Q80" s="299"/>
    </row>
    <row r="81" spans="1:17" x14ac:dyDescent="0.25">
      <c r="A81" s="299"/>
      <c r="B81" s="506">
        <v>395</v>
      </c>
      <c r="C81" s="477" t="s">
        <v>542</v>
      </c>
      <c r="D81" s="477"/>
      <c r="E81" s="1019">
        <f>Data!C151</f>
        <v>0</v>
      </c>
      <c r="F81" s="538"/>
      <c r="G81" s="1020">
        <f>ROUND((Attach11!D84+Attach11!G84+0.5*(Attach11!E84-Attach11!F84)),0)</f>
        <v>0</v>
      </c>
      <c r="H81" s="990">
        <f t="shared" si="8"/>
        <v>0</v>
      </c>
      <c r="I81" s="991"/>
      <c r="J81" s="1021">
        <v>5.8000000000000003E-2</v>
      </c>
      <c r="K81" s="1018">
        <f>Attach11!I84</f>
        <v>0</v>
      </c>
      <c r="L81" s="1023">
        <f>Attach11!N84-Attach11!I84</f>
        <v>0</v>
      </c>
      <c r="M81" s="990">
        <f t="shared" si="9"/>
        <v>0</v>
      </c>
      <c r="N81" s="990">
        <f t="shared" si="10"/>
        <v>0</v>
      </c>
      <c r="O81" s="800">
        <f t="shared" si="11"/>
        <v>0</v>
      </c>
      <c r="P81" s="336"/>
      <c r="Q81" s="299"/>
    </row>
    <row r="82" spans="1:17" x14ac:dyDescent="0.25">
      <c r="A82" s="299"/>
      <c r="B82" s="506">
        <v>396</v>
      </c>
      <c r="C82" s="477" t="s">
        <v>543</v>
      </c>
      <c r="D82" s="477"/>
      <c r="E82" s="1019">
        <f>Data!C152</f>
        <v>0</v>
      </c>
      <c r="F82" s="538"/>
      <c r="G82" s="1020">
        <f>ROUND((Attach11!D85+Attach11!G85+0.5*(Attach11!E85-Attach11!F85)),0)</f>
        <v>0</v>
      </c>
      <c r="H82" s="990">
        <f t="shared" si="8"/>
        <v>0</v>
      </c>
      <c r="I82" s="991"/>
      <c r="J82" s="1021">
        <v>7.4999999999999997E-2</v>
      </c>
      <c r="K82" s="1018">
        <f>Attach11!I85</f>
        <v>0</v>
      </c>
      <c r="L82" s="1023">
        <f>Attach11!N85-Attach11!I85</f>
        <v>0</v>
      </c>
      <c r="M82" s="990">
        <f t="shared" si="9"/>
        <v>0</v>
      </c>
      <c r="N82" s="990">
        <f t="shared" si="10"/>
        <v>0</v>
      </c>
      <c r="O82" s="800">
        <f t="shared" si="11"/>
        <v>0</v>
      </c>
      <c r="P82" s="336"/>
      <c r="Q82" s="299"/>
    </row>
    <row r="83" spans="1:17" x14ac:dyDescent="0.25">
      <c r="A83" s="299"/>
      <c r="B83" s="506">
        <v>397</v>
      </c>
      <c r="C83" s="477" t="s">
        <v>544</v>
      </c>
      <c r="D83" s="477"/>
      <c r="E83" s="1019">
        <v>0.15</v>
      </c>
      <c r="F83" s="538"/>
      <c r="G83" s="1020">
        <f>ROUND((Attach11!D86+Attach11!G86+0.5*(Attach11!E86-Attach11!F86)),0)</f>
        <v>1500</v>
      </c>
      <c r="H83" s="990">
        <f t="shared" si="8"/>
        <v>225</v>
      </c>
      <c r="I83" s="991"/>
      <c r="J83" s="1021">
        <v>0.15</v>
      </c>
      <c r="K83" s="1018">
        <f>Attach11!I86</f>
        <v>0</v>
      </c>
      <c r="L83" s="1023">
        <f>Attach11!N86-Attach11!I86</f>
        <v>1500</v>
      </c>
      <c r="M83" s="990">
        <f t="shared" si="9"/>
        <v>0</v>
      </c>
      <c r="N83" s="990">
        <f t="shared" si="10"/>
        <v>225</v>
      </c>
      <c r="O83" s="800">
        <f t="shared" si="11"/>
        <v>225</v>
      </c>
      <c r="P83" s="336"/>
      <c r="Q83" s="299"/>
    </row>
    <row r="84" spans="1:17" x14ac:dyDescent="0.25">
      <c r="A84" s="299"/>
      <c r="B84" s="506">
        <v>397.1</v>
      </c>
      <c r="C84" s="477" t="s">
        <v>545</v>
      </c>
      <c r="D84" s="477"/>
      <c r="E84" s="1019">
        <f>Data!C154</f>
        <v>0</v>
      </c>
      <c r="F84" s="538"/>
      <c r="G84" s="1020">
        <f>ROUND((Attach11!D87+Attach11!G87+0.5*(Attach11!E87-Attach11!F87)),0)</f>
        <v>0</v>
      </c>
      <c r="H84" s="990">
        <f t="shared" si="8"/>
        <v>0</v>
      </c>
      <c r="I84" s="991"/>
      <c r="J84" s="1021">
        <v>9.1999999999999998E-2</v>
      </c>
      <c r="K84" s="1018">
        <f>Attach11!I87</f>
        <v>0</v>
      </c>
      <c r="L84" s="1023">
        <f>Attach11!N87-Attach11!I87</f>
        <v>0</v>
      </c>
      <c r="M84" s="990">
        <f t="shared" si="9"/>
        <v>0</v>
      </c>
      <c r="N84" s="990">
        <f t="shared" si="10"/>
        <v>0</v>
      </c>
      <c r="O84" s="800">
        <f t="shared" si="11"/>
        <v>0</v>
      </c>
      <c r="P84" s="336"/>
      <c r="Q84" s="299"/>
    </row>
    <row r="85" spans="1:17" x14ac:dyDescent="0.25">
      <c r="A85" s="299"/>
      <c r="B85" s="506">
        <v>398</v>
      </c>
      <c r="C85" s="477" t="s">
        <v>546</v>
      </c>
      <c r="D85" s="477"/>
      <c r="E85" s="1019">
        <v>5.8000000000000003E-2</v>
      </c>
      <c r="F85" s="538"/>
      <c r="G85" s="1020">
        <f>ROUND((Attach11!D88+Attach11!G88+0.5*(Attach11!E88-Attach11!F88)),0)</f>
        <v>755</v>
      </c>
      <c r="H85" s="990">
        <f t="shared" si="8"/>
        <v>44</v>
      </c>
      <c r="I85" s="991"/>
      <c r="J85" s="1021">
        <v>5.8000000000000003E-2</v>
      </c>
      <c r="K85" s="1018">
        <f>Attach11!I88</f>
        <v>0</v>
      </c>
      <c r="L85" s="1023">
        <f>Attach11!N88-Attach11!I88</f>
        <v>755</v>
      </c>
      <c r="M85" s="990">
        <f t="shared" si="9"/>
        <v>0</v>
      </c>
      <c r="N85" s="990">
        <f t="shared" si="10"/>
        <v>44</v>
      </c>
      <c r="O85" s="800">
        <f t="shared" si="11"/>
        <v>44</v>
      </c>
      <c r="P85" s="336"/>
      <c r="Q85" s="299"/>
    </row>
    <row r="86" spans="1:17" ht="9.75" customHeight="1" x14ac:dyDescent="0.25">
      <c r="A86" s="299"/>
      <c r="B86" s="506"/>
      <c r="C86" s="477"/>
      <c r="D86" s="477"/>
      <c r="E86" s="688"/>
      <c r="F86" s="538"/>
      <c r="G86" s="538"/>
      <c r="H86" s="1002"/>
      <c r="I86" s="991"/>
      <c r="J86" s="992"/>
      <c r="K86" s="480"/>
      <c r="L86" s="538"/>
      <c r="M86" s="538"/>
      <c r="N86" s="538"/>
      <c r="O86" s="1002"/>
      <c r="P86" s="336"/>
      <c r="Q86" s="299"/>
    </row>
    <row r="87" spans="1:17" x14ac:dyDescent="0.25">
      <c r="A87" s="299"/>
      <c r="B87" s="504"/>
      <c r="C87" s="477" t="s">
        <v>547</v>
      </c>
      <c r="D87" s="477"/>
      <c r="E87" s="538"/>
      <c r="F87" s="538"/>
      <c r="G87" s="538"/>
      <c r="H87" s="993">
        <f>SUM(H74:H85)</f>
        <v>9490</v>
      </c>
      <c r="I87" s="991"/>
      <c r="J87" s="995"/>
      <c r="K87" s="996"/>
      <c r="L87" s="997"/>
      <c r="M87" s="477"/>
      <c r="N87" s="477"/>
      <c r="O87" s="993">
        <f>SUM(O74:O85)</f>
        <v>9616</v>
      </c>
      <c r="P87" s="336"/>
      <c r="Q87" s="299"/>
    </row>
    <row r="88" spans="1:17" ht="9.75" customHeight="1" x14ac:dyDescent="0.25">
      <c r="A88" s="299"/>
      <c r="B88" s="504"/>
      <c r="C88" s="477"/>
      <c r="D88" s="477"/>
      <c r="E88" s="480" t="s">
        <v>508</v>
      </c>
      <c r="F88" s="480"/>
      <c r="G88" s="477" t="s">
        <v>508</v>
      </c>
      <c r="H88" s="991" t="s">
        <v>508</v>
      </c>
      <c r="I88" s="991"/>
      <c r="J88" s="995"/>
      <c r="K88" s="1024"/>
      <c r="L88" s="969"/>
      <c r="M88" s="969"/>
      <c r="N88" s="538"/>
      <c r="O88" s="949" t="s">
        <v>508</v>
      </c>
      <c r="P88" s="336"/>
      <c r="Q88" s="299"/>
    </row>
    <row r="89" spans="1:17" ht="13.8" thickBot="1" x14ac:dyDescent="0.3">
      <c r="A89" s="299"/>
      <c r="B89" s="504"/>
      <c r="C89" s="477" t="s">
        <v>172</v>
      </c>
      <c r="D89" s="477"/>
      <c r="E89" s="538"/>
      <c r="F89" s="538"/>
      <c r="G89" s="539">
        <f>SUM(G19:G45)+SUM(G61:G85)</f>
        <v>2081572</v>
      </c>
      <c r="H89" s="998">
        <f>IF($O$8&lt;=0,SUM(H29+H39+H48+H70+H87),ROUND((G89*$O$8/100),0))</f>
        <v>63716</v>
      </c>
      <c r="I89" s="477"/>
      <c r="J89" s="995"/>
      <c r="K89" s="539">
        <f>SUM(K18:K48)+SUM(K61:K85)</f>
        <v>0</v>
      </c>
      <c r="L89" s="539">
        <f>SUM(L18:L48)+SUM(L61:L85)</f>
        <v>2679874</v>
      </c>
      <c r="M89" s="539">
        <f>SUM(M18:M48)+SUM(M61:M85)</f>
        <v>0</v>
      </c>
      <c r="N89" s="539">
        <f>SUM(N18:N48)+SUM(N61:N85)</f>
        <v>75982</v>
      </c>
      <c r="O89" s="998">
        <f>SUM(O29+O39+O48+O70+O87)</f>
        <v>75982</v>
      </c>
      <c r="P89" s="336"/>
      <c r="Q89" s="299"/>
    </row>
    <row r="90" spans="1:17" ht="9.75" customHeight="1" thickTop="1" x14ac:dyDescent="0.25">
      <c r="A90" s="299"/>
      <c r="B90" s="504"/>
      <c r="C90" s="477"/>
      <c r="D90" s="477"/>
      <c r="E90" s="538"/>
      <c r="F90" s="538"/>
      <c r="G90" s="538"/>
      <c r="H90" s="477"/>
      <c r="I90" s="477"/>
      <c r="J90" s="995"/>
      <c r="K90" s="996"/>
      <c r="L90" s="997"/>
      <c r="M90" s="997"/>
      <c r="N90" s="538"/>
      <c r="O90" s="1014"/>
      <c r="P90" s="336"/>
      <c r="Q90" s="299"/>
    </row>
    <row r="91" spans="1:17" x14ac:dyDescent="0.25">
      <c r="A91" s="299"/>
      <c r="B91" s="504"/>
      <c r="C91" s="1037" t="str">
        <f>IF((H91+O91)&lt;&gt;0,"Miscellaneous Credits (Charges) to Accrual (See Notes--Attachment 18)","Miscellaneous Credits (Charges) to Accrual")</f>
        <v>Miscellaneous Credits (Charges) to Accrual</v>
      </c>
      <c r="D91" s="999"/>
      <c r="E91" s="538"/>
      <c r="F91" s="538"/>
      <c r="G91" s="477"/>
      <c r="H91" s="1377">
        <v>0</v>
      </c>
      <c r="I91" s="991"/>
      <c r="J91" s="992"/>
      <c r="K91" s="480"/>
      <c r="L91" s="538"/>
      <c r="M91" s="538"/>
      <c r="N91" s="1036" t="str">
        <f>IF(O91&lt;&gt;0,"See Notes--Attachment 18 ","Miscellaneous Credits (Charges) to Accrual ")</f>
        <v xml:space="preserve">Miscellaneous Credits (Charges) to Accrual </v>
      </c>
      <c r="O91" s="1377">
        <v>0</v>
      </c>
      <c r="P91" s="336"/>
      <c r="Q91" s="299"/>
    </row>
    <row r="92" spans="1:17" ht="9.75" customHeight="1" x14ac:dyDescent="0.25">
      <c r="A92" s="299"/>
      <c r="B92" s="504"/>
      <c r="C92" s="477"/>
      <c r="D92" s="477"/>
      <c r="E92" s="538"/>
      <c r="F92" s="538"/>
      <c r="G92" s="538"/>
      <c r="H92" s="991"/>
      <c r="I92" s="991"/>
      <c r="J92" s="992"/>
      <c r="K92" s="480"/>
      <c r="L92" s="538"/>
      <c r="M92" s="538"/>
      <c r="N92" s="538"/>
      <c r="O92" s="1014"/>
      <c r="P92" s="336"/>
      <c r="Q92" s="299"/>
    </row>
    <row r="93" spans="1:17" ht="16.5" customHeight="1" thickBot="1" x14ac:dyDescent="0.3">
      <c r="A93" s="299"/>
      <c r="B93" s="530" t="s">
        <v>572</v>
      </c>
      <c r="C93" s="477"/>
      <c r="D93" s="477"/>
      <c r="E93" s="477"/>
      <c r="F93" s="477"/>
      <c r="G93" s="949" t="str">
        <f>IF($O$8&lt;=0,"(To Attachment 13)==&gt;","Note 1: (To Attachment 13)==&gt;")</f>
        <v>(To Attachment 13)==&gt;</v>
      </c>
      <c r="H93" s="998">
        <f>SUM(H89:H91)</f>
        <v>63716</v>
      </c>
      <c r="I93" s="1002"/>
      <c r="J93" s="653"/>
      <c r="K93" s="478"/>
      <c r="L93" s="519"/>
      <c r="M93" s="519"/>
      <c r="N93" s="949" t="str">
        <f>IF($O$8&lt;=0,"(To Attachment 13)==&gt;","Note 2: (To Attachment 13)==&gt;")</f>
        <v>(To Attachment 13)==&gt;</v>
      </c>
      <c r="O93" s="998">
        <f>ROUND(SUM(O89:O91),0)</f>
        <v>75982</v>
      </c>
      <c r="P93" s="336"/>
      <c r="Q93" s="299"/>
    </row>
    <row r="94" spans="1:17" ht="13.8" thickBot="1" x14ac:dyDescent="0.3">
      <c r="A94" s="299"/>
      <c r="B94" s="530" t="s">
        <v>573</v>
      </c>
      <c r="C94" s="477"/>
      <c r="D94" s="1007">
        <v>50</v>
      </c>
      <c r="E94" s="477" t="s">
        <v>574</v>
      </c>
      <c r="F94" s="477"/>
      <c r="G94" s="519"/>
      <c r="H94" s="990">
        <f>ROUND(-H66*D94/100,0)</f>
        <v>-4158</v>
      </c>
      <c r="I94" s="1002"/>
      <c r="J94" s="653"/>
      <c r="K94" s="1008">
        <f>D94</f>
        <v>50</v>
      </c>
      <c r="L94" s="519" t="s">
        <v>575</v>
      </c>
      <c r="M94" s="519"/>
      <c r="N94" s="519"/>
      <c r="O94" s="990">
        <f>-ROUND(O66*K94/100,0)</f>
        <v>-5467</v>
      </c>
      <c r="P94" s="336"/>
      <c r="Q94" s="299"/>
    </row>
    <row r="95" spans="1:17" x14ac:dyDescent="0.25">
      <c r="A95" s="299"/>
      <c r="B95" s="835" t="s">
        <v>576</v>
      </c>
      <c r="C95" s="477"/>
      <c r="D95" s="477"/>
      <c r="E95" s="939"/>
      <c r="F95" s="477"/>
      <c r="G95" s="519"/>
      <c r="H95" s="1143">
        <v>0</v>
      </c>
      <c r="I95" s="1002"/>
      <c r="J95" s="653"/>
      <c r="K95" s="478"/>
      <c r="L95" s="519"/>
      <c r="M95" s="519"/>
      <c r="N95" s="519"/>
      <c r="O95" s="1143">
        <v>0</v>
      </c>
      <c r="P95" s="336"/>
      <c r="Q95" s="299"/>
    </row>
    <row r="96" spans="1:17" x14ac:dyDescent="0.25">
      <c r="A96" s="299"/>
      <c r="B96" s="530" t="s">
        <v>577</v>
      </c>
      <c r="C96" s="1654"/>
      <c r="D96" s="1654"/>
      <c r="E96" s="1654"/>
      <c r="F96" s="1654"/>
      <c r="G96" s="519"/>
      <c r="H96" s="1143">
        <v>0</v>
      </c>
      <c r="I96" s="1002"/>
      <c r="J96" s="653"/>
      <c r="K96" s="1655"/>
      <c r="L96" s="1655"/>
      <c r="M96" s="1655"/>
      <c r="N96" s="519"/>
      <c r="O96" s="1143"/>
      <c r="P96" s="336"/>
      <c r="Q96" s="299"/>
    </row>
    <row r="97" spans="1:20" x14ac:dyDescent="0.25">
      <c r="A97" s="299"/>
      <c r="B97" s="530" t="s">
        <v>577</v>
      </c>
      <c r="C97" s="1654"/>
      <c r="D97" s="1654"/>
      <c r="E97" s="1654"/>
      <c r="F97" s="1654"/>
      <c r="G97" s="477"/>
      <c r="H97" s="1143">
        <v>0</v>
      </c>
      <c r="I97" s="991"/>
      <c r="J97" s="535"/>
      <c r="K97" s="1655"/>
      <c r="L97" s="1655"/>
      <c r="M97" s="1655"/>
      <c r="N97" s="477"/>
      <c r="O97" s="1143">
        <v>0</v>
      </c>
      <c r="P97" s="336"/>
      <c r="Q97" s="299"/>
    </row>
    <row r="98" spans="1:20" x14ac:dyDescent="0.25">
      <c r="A98" s="299"/>
      <c r="B98" s="504"/>
      <c r="C98" s="477"/>
      <c r="D98" s="477"/>
      <c r="E98" s="477"/>
      <c r="F98" s="477"/>
      <c r="G98" s="477"/>
      <c r="H98" s="1033"/>
      <c r="I98" s="991"/>
      <c r="J98" s="535"/>
      <c r="K98" s="480"/>
      <c r="L98" s="477"/>
      <c r="M98" s="477"/>
      <c r="N98" s="477"/>
      <c r="O98" s="1033"/>
      <c r="P98" s="336"/>
      <c r="Q98" s="299"/>
    </row>
    <row r="99" spans="1:20" ht="13.8" thickBot="1" x14ac:dyDescent="0.3">
      <c r="A99" s="299"/>
      <c r="B99" s="504"/>
      <c r="C99" s="477" t="s">
        <v>578</v>
      </c>
      <c r="D99" s="477"/>
      <c r="E99" s="477"/>
      <c r="F99" s="477"/>
      <c r="G99" s="477"/>
      <c r="H99" s="1000">
        <f>SUM(H93:H97)</f>
        <v>59558</v>
      </c>
      <c r="I99" s="991"/>
      <c r="J99" s="535"/>
      <c r="K99" s="480"/>
      <c r="L99" s="477"/>
      <c r="M99" s="477"/>
      <c r="N99" s="942" t="s">
        <v>579</v>
      </c>
      <c r="O99" s="1000">
        <f>ROUND(SUM(O93:O97),0)</f>
        <v>70515</v>
      </c>
      <c r="P99" s="336"/>
      <c r="Q99" s="299"/>
    </row>
    <row r="100" spans="1:20" ht="13.8" thickTop="1" x14ac:dyDescent="0.25">
      <c r="A100" s="299"/>
      <c r="B100" s="504"/>
      <c r="C100" s="477"/>
      <c r="D100" s="477"/>
      <c r="E100" s="477"/>
      <c r="F100" s="477"/>
      <c r="G100" s="477"/>
      <c r="H100" s="991"/>
      <c r="I100" s="991"/>
      <c r="J100" s="535"/>
      <c r="K100" s="480"/>
      <c r="L100" s="477"/>
      <c r="M100" s="477"/>
      <c r="N100" s="942"/>
      <c r="O100" s="991"/>
      <c r="P100" s="336"/>
      <c r="Q100" s="299"/>
    </row>
    <row r="101" spans="1:20" x14ac:dyDescent="0.25">
      <c r="A101" s="299"/>
      <c r="B101" s="929"/>
      <c r="C101" s="481" t="s">
        <v>1091</v>
      </c>
      <c r="D101" s="477"/>
      <c r="E101" s="477"/>
      <c r="F101" s="477"/>
      <c r="G101" s="531"/>
      <c r="H101" s="968"/>
      <c r="I101" s="968"/>
      <c r="J101" s="932"/>
      <c r="K101" s="930"/>
      <c r="L101" s="531"/>
      <c r="M101" s="531"/>
      <c r="N101" s="205"/>
      <c r="O101" s="931"/>
      <c r="P101" s="336"/>
      <c r="Q101" s="299"/>
    </row>
    <row r="102" spans="1:20" ht="12.75" customHeight="1" x14ac:dyDescent="0.25">
      <c r="A102" s="299"/>
      <c r="B102" s="929"/>
      <c r="C102" s="2542"/>
      <c r="D102" s="2543"/>
      <c r="E102" s="2543"/>
      <c r="F102" s="2543"/>
      <c r="G102" s="2543"/>
      <c r="H102" s="2544"/>
      <c r="I102" s="968"/>
      <c r="J102" s="932"/>
      <c r="K102" s="930"/>
      <c r="L102" s="531"/>
      <c r="M102" s="531"/>
      <c r="N102" s="205"/>
      <c r="O102" s="931"/>
      <c r="P102" s="336"/>
      <c r="Q102" s="299"/>
    </row>
    <row r="103" spans="1:20" ht="38.25" customHeight="1" x14ac:dyDescent="0.25">
      <c r="A103" s="299"/>
      <c r="B103" s="929"/>
      <c r="C103" s="2545"/>
      <c r="D103" s="2546"/>
      <c r="E103" s="2546"/>
      <c r="F103" s="2546"/>
      <c r="G103" s="2546"/>
      <c r="H103" s="2547"/>
      <c r="I103" s="968"/>
      <c r="J103" s="932"/>
      <c r="K103" s="930"/>
      <c r="L103" s="531"/>
      <c r="M103" s="531"/>
      <c r="N103" s="205"/>
      <c r="O103" s="931"/>
      <c r="P103" s="336"/>
      <c r="Q103" s="299"/>
    </row>
    <row r="104" spans="1:20" x14ac:dyDescent="0.25">
      <c r="A104" s="299"/>
      <c r="B104" s="929"/>
      <c r="C104" s="2548"/>
      <c r="D104" s="2549"/>
      <c r="E104" s="2549"/>
      <c r="F104" s="2549"/>
      <c r="G104" s="2549"/>
      <c r="H104" s="2550"/>
      <c r="I104" s="968"/>
      <c r="J104" s="932"/>
      <c r="K104" s="930"/>
      <c r="L104" s="531"/>
      <c r="M104" s="531"/>
      <c r="N104" s="205"/>
      <c r="O104" s="931"/>
      <c r="P104" s="336"/>
      <c r="Q104" s="299"/>
    </row>
    <row r="105" spans="1:20" s="28" customFormat="1" x14ac:dyDescent="0.25">
      <c r="A105" s="78"/>
      <c r="B105" s="2465" t="s">
        <v>1232</v>
      </c>
      <c r="C105" s="2360"/>
      <c r="D105" s="2360"/>
      <c r="E105" s="2360"/>
      <c r="F105" s="2360"/>
      <c r="G105" s="2360"/>
      <c r="H105" s="2360"/>
      <c r="I105" s="2360"/>
      <c r="J105" s="2360"/>
      <c r="K105" s="2360"/>
      <c r="L105" s="2360"/>
      <c r="M105" s="2360"/>
      <c r="N105" s="2360"/>
      <c r="O105" s="2360"/>
      <c r="P105" s="2466"/>
      <c r="Q105" s="78"/>
      <c r="R105" s="1708"/>
      <c r="S105" s="1708"/>
      <c r="T105" s="1708"/>
    </row>
    <row r="106" spans="1:20" s="28" customFormat="1" x14ac:dyDescent="0.25">
      <c r="A106" s="78"/>
      <c r="B106" s="2465"/>
      <c r="C106" s="2360"/>
      <c r="D106" s="2360"/>
      <c r="E106" s="2360"/>
      <c r="F106" s="2360"/>
      <c r="G106" s="2360"/>
      <c r="H106" s="2360"/>
      <c r="I106" s="2360"/>
      <c r="J106" s="2360"/>
      <c r="K106" s="2360"/>
      <c r="L106" s="2360"/>
      <c r="M106" s="2360"/>
      <c r="N106" s="2360"/>
      <c r="O106" s="2360"/>
      <c r="P106" s="2466"/>
      <c r="Q106" s="78"/>
      <c r="R106" s="1708"/>
      <c r="S106" s="1708"/>
      <c r="T106" s="1708"/>
    </row>
    <row r="107" spans="1:20" s="28" customFormat="1" x14ac:dyDescent="0.25">
      <c r="A107" s="78"/>
      <c r="B107" s="378"/>
      <c r="C107" s="2542"/>
      <c r="D107" s="2543"/>
      <c r="E107" s="2543"/>
      <c r="F107" s="2543"/>
      <c r="G107" s="2543"/>
      <c r="H107" s="2543"/>
      <c r="I107" s="2543"/>
      <c r="J107" s="2543"/>
      <c r="K107" s="2543"/>
      <c r="L107" s="2543"/>
      <c r="M107" s="2543"/>
      <c r="N107" s="2543"/>
      <c r="O107" s="2544"/>
      <c r="P107" s="228"/>
      <c r="Q107" s="78"/>
      <c r="R107" s="1708"/>
      <c r="S107" s="1708"/>
      <c r="T107" s="1708"/>
    </row>
    <row r="108" spans="1:20" s="28" customFormat="1" x14ac:dyDescent="0.25">
      <c r="A108" s="78"/>
      <c r="B108" s="378"/>
      <c r="C108" s="2545"/>
      <c r="D108" s="2546"/>
      <c r="E108" s="2546"/>
      <c r="F108" s="2546"/>
      <c r="G108" s="2546"/>
      <c r="H108" s="2546"/>
      <c r="I108" s="2546"/>
      <c r="J108" s="2546"/>
      <c r="K108" s="2546"/>
      <c r="L108" s="2546"/>
      <c r="M108" s="2546"/>
      <c r="N108" s="2546"/>
      <c r="O108" s="2547"/>
      <c r="P108" s="228"/>
      <c r="Q108" s="78"/>
      <c r="R108" s="1708"/>
      <c r="S108" s="1708"/>
      <c r="T108" s="1708"/>
    </row>
    <row r="109" spans="1:20" s="28" customFormat="1" x14ac:dyDescent="0.25">
      <c r="A109" s="78"/>
      <c r="B109" s="378"/>
      <c r="C109" s="2545"/>
      <c r="D109" s="2546"/>
      <c r="E109" s="2546"/>
      <c r="F109" s="2546"/>
      <c r="G109" s="2546"/>
      <c r="H109" s="2546"/>
      <c r="I109" s="2546"/>
      <c r="J109" s="2546"/>
      <c r="K109" s="2546"/>
      <c r="L109" s="2546"/>
      <c r="M109" s="2546"/>
      <c r="N109" s="2546"/>
      <c r="O109" s="2547"/>
      <c r="P109" s="228"/>
      <c r="Q109" s="78"/>
      <c r="R109" s="1708"/>
      <c r="S109" s="1708"/>
      <c r="T109" s="1708"/>
    </row>
    <row r="110" spans="1:20" s="28" customFormat="1" x14ac:dyDescent="0.25">
      <c r="A110" s="78"/>
      <c r="B110" s="378"/>
      <c r="C110" s="2545"/>
      <c r="D110" s="2546"/>
      <c r="E110" s="2546"/>
      <c r="F110" s="2546"/>
      <c r="G110" s="2546"/>
      <c r="H110" s="2546"/>
      <c r="I110" s="2546"/>
      <c r="J110" s="2546"/>
      <c r="K110" s="2546"/>
      <c r="L110" s="2546"/>
      <c r="M110" s="2546"/>
      <c r="N110" s="2546"/>
      <c r="O110" s="2547"/>
      <c r="P110" s="228"/>
      <c r="Q110" s="78"/>
      <c r="R110" s="1708"/>
      <c r="S110" s="1708"/>
      <c r="T110" s="1708"/>
    </row>
    <row r="111" spans="1:20" s="28" customFormat="1" x14ac:dyDescent="0.25">
      <c r="A111" s="78"/>
      <c r="B111" s="378"/>
      <c r="C111" s="2545"/>
      <c r="D111" s="2546"/>
      <c r="E111" s="2546"/>
      <c r="F111" s="2546"/>
      <c r="G111" s="2546"/>
      <c r="H111" s="2546"/>
      <c r="I111" s="2546"/>
      <c r="J111" s="2546"/>
      <c r="K111" s="2546"/>
      <c r="L111" s="2546"/>
      <c r="M111" s="2546"/>
      <c r="N111" s="2546"/>
      <c r="O111" s="2547"/>
      <c r="P111" s="228"/>
      <c r="Q111" s="78"/>
      <c r="R111" s="1708"/>
      <c r="S111" s="1708"/>
      <c r="T111" s="1708"/>
    </row>
    <row r="112" spans="1:20" s="28" customFormat="1" x14ac:dyDescent="0.25">
      <c r="A112" s="78"/>
      <c r="B112" s="378"/>
      <c r="C112" s="2545"/>
      <c r="D112" s="2546"/>
      <c r="E112" s="2546"/>
      <c r="F112" s="2546"/>
      <c r="G112" s="2546"/>
      <c r="H112" s="2546"/>
      <c r="I112" s="2546"/>
      <c r="J112" s="2546"/>
      <c r="K112" s="2546"/>
      <c r="L112" s="2546"/>
      <c r="M112" s="2546"/>
      <c r="N112" s="2546"/>
      <c r="O112" s="2547"/>
      <c r="P112" s="228"/>
      <c r="Q112" s="78"/>
      <c r="R112" s="1708"/>
      <c r="S112" s="1708"/>
      <c r="T112" s="1708"/>
    </row>
    <row r="113" spans="1:20" s="28" customFormat="1" x14ac:dyDescent="0.25">
      <c r="A113" s="78"/>
      <c r="B113" s="378"/>
      <c r="C113" s="2545"/>
      <c r="D113" s="2546"/>
      <c r="E113" s="2546"/>
      <c r="F113" s="2546"/>
      <c r="G113" s="2546"/>
      <c r="H113" s="2546"/>
      <c r="I113" s="2546"/>
      <c r="J113" s="2546"/>
      <c r="K113" s="2546"/>
      <c r="L113" s="2546"/>
      <c r="M113" s="2546"/>
      <c r="N113" s="2546"/>
      <c r="O113" s="2547"/>
      <c r="P113" s="228"/>
      <c r="Q113" s="78"/>
      <c r="R113" s="1708"/>
      <c r="S113" s="1708"/>
      <c r="T113" s="1708"/>
    </row>
    <row r="114" spans="1:20" s="28" customFormat="1" x14ac:dyDescent="0.25">
      <c r="A114" s="78"/>
      <c r="B114" s="378"/>
      <c r="C114" s="2545"/>
      <c r="D114" s="2546"/>
      <c r="E114" s="2546"/>
      <c r="F114" s="2546"/>
      <c r="G114" s="2546"/>
      <c r="H114" s="2546"/>
      <c r="I114" s="2546"/>
      <c r="J114" s="2546"/>
      <c r="K114" s="2546"/>
      <c r="L114" s="2546"/>
      <c r="M114" s="2546"/>
      <c r="N114" s="2546"/>
      <c r="O114" s="2547"/>
      <c r="P114" s="228"/>
      <c r="Q114" s="78"/>
      <c r="R114" s="1708"/>
      <c r="S114" s="1708"/>
      <c r="T114" s="1708"/>
    </row>
    <row r="115" spans="1:20" s="28" customFormat="1" x14ac:dyDescent="0.25">
      <c r="A115" s="78"/>
      <c r="B115" s="378"/>
      <c r="C115" s="2545"/>
      <c r="D115" s="2546"/>
      <c r="E115" s="2546"/>
      <c r="F115" s="2546"/>
      <c r="G115" s="2546"/>
      <c r="H115" s="2546"/>
      <c r="I115" s="2546"/>
      <c r="J115" s="2546"/>
      <c r="K115" s="2546"/>
      <c r="L115" s="2546"/>
      <c r="M115" s="2546"/>
      <c r="N115" s="2546"/>
      <c r="O115" s="2547"/>
      <c r="P115" s="228"/>
      <c r="Q115" s="78"/>
      <c r="R115" s="1708"/>
      <c r="S115" s="1708"/>
      <c r="T115" s="1708"/>
    </row>
    <row r="116" spans="1:20" s="28" customFormat="1" x14ac:dyDescent="0.25">
      <c r="A116" s="78"/>
      <c r="B116" s="378"/>
      <c r="C116" s="2545"/>
      <c r="D116" s="2546"/>
      <c r="E116" s="2546"/>
      <c r="F116" s="2546"/>
      <c r="G116" s="2546"/>
      <c r="H116" s="2546"/>
      <c r="I116" s="2546"/>
      <c r="J116" s="2546"/>
      <c r="K116" s="2546"/>
      <c r="L116" s="2546"/>
      <c r="M116" s="2546"/>
      <c r="N116" s="2546"/>
      <c r="O116" s="2547"/>
      <c r="P116" s="228"/>
      <c r="Q116" s="78"/>
      <c r="R116" s="1708"/>
      <c r="S116" s="1708"/>
      <c r="T116" s="1708"/>
    </row>
    <row r="117" spans="1:20" s="28" customFormat="1" x14ac:dyDescent="0.25">
      <c r="A117" s="78"/>
      <c r="B117" s="378"/>
      <c r="C117" s="2545"/>
      <c r="D117" s="2546"/>
      <c r="E117" s="2546"/>
      <c r="F117" s="2546"/>
      <c r="G117" s="2546"/>
      <c r="H117" s="2546"/>
      <c r="I117" s="2546"/>
      <c r="J117" s="2546"/>
      <c r="K117" s="2546"/>
      <c r="L117" s="2546"/>
      <c r="M117" s="2546"/>
      <c r="N117" s="2546"/>
      <c r="O117" s="2547"/>
      <c r="P117" s="228"/>
      <c r="Q117" s="78"/>
      <c r="R117" s="1708"/>
      <c r="S117" s="1708"/>
      <c r="T117" s="1708"/>
    </row>
    <row r="118" spans="1:20" s="28" customFormat="1" x14ac:dyDescent="0.25">
      <c r="A118" s="78"/>
      <c r="B118" s="378"/>
      <c r="C118" s="2548"/>
      <c r="D118" s="2549"/>
      <c r="E118" s="2549"/>
      <c r="F118" s="2549"/>
      <c r="G118" s="2549"/>
      <c r="H118" s="2549"/>
      <c r="I118" s="2549"/>
      <c r="J118" s="2549"/>
      <c r="K118" s="2549"/>
      <c r="L118" s="2549"/>
      <c r="M118" s="2549"/>
      <c r="N118" s="2549"/>
      <c r="O118" s="2550"/>
      <c r="P118" s="228"/>
      <c r="Q118" s="78"/>
      <c r="R118" s="1708"/>
      <c r="S118" s="1708"/>
      <c r="T118" s="1708"/>
    </row>
    <row r="119" spans="1:20" s="28" customFormat="1" x14ac:dyDescent="0.25">
      <c r="A119" s="78"/>
      <c r="B119" s="504"/>
      <c r="C119" s="535"/>
      <c r="D119" s="477"/>
      <c r="E119" s="477"/>
      <c r="F119" s="477"/>
      <c r="G119" s="477"/>
      <c r="H119" s="477"/>
      <c r="I119" s="477"/>
      <c r="J119" s="477"/>
      <c r="K119" s="477"/>
      <c r="L119" s="477"/>
      <c r="M119" s="477"/>
      <c r="N119" s="477"/>
      <c r="O119" s="205"/>
      <c r="P119" s="228"/>
      <c r="Q119" s="78"/>
      <c r="R119" s="1708"/>
      <c r="S119" s="1708"/>
      <c r="T119" s="1708"/>
    </row>
    <row r="120" spans="1:20" s="28" customFormat="1" ht="13.8" thickBot="1" x14ac:dyDescent="0.3">
      <c r="A120" s="78"/>
      <c r="B120" s="634"/>
      <c r="C120" s="798"/>
      <c r="D120" s="231"/>
      <c r="E120" s="231"/>
      <c r="F120" s="231"/>
      <c r="G120" s="231"/>
      <c r="H120" s="606"/>
      <c r="I120" s="606"/>
      <c r="J120" s="606"/>
      <c r="K120" s="231"/>
      <c r="L120" s="231"/>
      <c r="M120" s="606"/>
      <c r="N120" s="231"/>
      <c r="O120" s="231"/>
      <c r="P120" s="232"/>
      <c r="Q120" s="78"/>
      <c r="R120" s="1708"/>
      <c r="S120" s="1708"/>
      <c r="T120" s="1708"/>
    </row>
    <row r="121" spans="1:20" s="28" customFormat="1" ht="13.8" thickTop="1" x14ac:dyDescent="0.25">
      <c r="A121" s="78"/>
      <c r="B121" s="468"/>
      <c r="C121" s="768"/>
      <c r="D121" s="78"/>
      <c r="E121" s="78"/>
      <c r="F121" s="78"/>
      <c r="G121" s="78"/>
      <c r="H121" s="79"/>
      <c r="I121" s="79"/>
      <c r="J121" s="79"/>
      <c r="K121" s="78"/>
      <c r="L121" s="78"/>
      <c r="M121" s="79"/>
      <c r="N121" s="78"/>
      <c r="O121" s="180"/>
      <c r="P121" s="78"/>
      <c r="Q121" s="78"/>
      <c r="R121" s="1708"/>
      <c r="S121" s="1708"/>
      <c r="T121" s="1708"/>
    </row>
    <row r="122" spans="1:20" s="28" customFormat="1" x14ac:dyDescent="0.25">
      <c r="A122" s="78"/>
      <c r="B122" s="468"/>
      <c r="C122" s="78"/>
      <c r="D122" s="78"/>
      <c r="E122" s="78"/>
      <c r="F122" s="78"/>
      <c r="G122" s="78"/>
      <c r="H122" s="79"/>
      <c r="I122" s="79"/>
      <c r="J122" s="79"/>
      <c r="K122" s="78"/>
      <c r="L122" s="78"/>
      <c r="M122" s="79"/>
      <c r="N122" s="78"/>
      <c r="O122" s="78"/>
      <c r="P122" s="78"/>
      <c r="Q122" s="78"/>
      <c r="R122" s="1708"/>
      <c r="S122" s="1708"/>
      <c r="T122" s="1708"/>
    </row>
    <row r="123" spans="1:20" s="28" customFormat="1" x14ac:dyDescent="0.25">
      <c r="A123" s="78"/>
      <c r="B123" s="468"/>
      <c r="C123" s="78"/>
      <c r="D123" s="78"/>
      <c r="E123" s="78"/>
      <c r="F123" s="78"/>
      <c r="G123" s="78"/>
      <c r="H123" s="79"/>
      <c r="I123" s="79"/>
      <c r="J123" s="79"/>
      <c r="K123" s="78"/>
      <c r="L123" s="78"/>
      <c r="M123" s="79"/>
      <c r="N123" s="78"/>
      <c r="O123" s="78"/>
      <c r="P123" s="78"/>
      <c r="Q123" s="78"/>
      <c r="R123" s="1708"/>
      <c r="S123" s="1708"/>
      <c r="T123" s="1708"/>
    </row>
    <row r="124" spans="1:20" s="28" customFormat="1" x14ac:dyDescent="0.25">
      <c r="A124" s="78"/>
      <c r="B124" s="468"/>
      <c r="C124" s="78"/>
      <c r="D124" s="78"/>
      <c r="E124" s="78"/>
      <c r="F124" s="78"/>
      <c r="G124" s="78"/>
      <c r="H124" s="79"/>
      <c r="I124" s="79"/>
      <c r="J124" s="79"/>
      <c r="K124" s="78"/>
      <c r="L124" s="78"/>
      <c r="M124" s="79"/>
      <c r="N124" s="78"/>
      <c r="O124" s="78"/>
      <c r="P124" s="78"/>
      <c r="Q124" s="78"/>
      <c r="R124" s="1708"/>
      <c r="S124" s="1708"/>
      <c r="T124" s="1708"/>
    </row>
    <row r="125" spans="1:20" x14ac:dyDescent="0.25">
      <c r="O125" s="15"/>
    </row>
  </sheetData>
  <sheetProtection password="E593" sheet="1" objects="1" scenarios="1"/>
  <customSheetViews>
    <customSheetView guid="{B63065A1-7838-417A-8679-08A8A2B79CD8}" scale="80" showPageBreaks="1" showGridLines="0" printArea="1" hiddenRows="1" topLeftCell="A73">
      <selection activeCell="I88" sqref="I88"/>
      <rowBreaks count="1" manualBreakCount="1">
        <brk id="47" max="16383" man="1"/>
      </rowBreaks>
      <pageMargins left="0.25" right="0.25" top="0.5" bottom="0.5" header="0" footer="0"/>
      <printOptions horizontalCentered="1"/>
      <pageSetup scale="65" orientation="landscape" blackAndWhite="1" r:id="rId1"/>
      <headerFooter alignWithMargins="0"/>
    </customSheetView>
  </customSheetViews>
  <mergeCells count="20">
    <mergeCell ref="M15:N15"/>
    <mergeCell ref="J56:O56"/>
    <mergeCell ref="B54:P54"/>
    <mergeCell ref="J57:O57"/>
    <mergeCell ref="E57:H57"/>
    <mergeCell ref="B2:P2"/>
    <mergeCell ref="B3:P3"/>
    <mergeCell ref="B4:P4"/>
    <mergeCell ref="J14:O14"/>
    <mergeCell ref="E14:H14"/>
    <mergeCell ref="C7:L8"/>
    <mergeCell ref="E13:H13"/>
    <mergeCell ref="J13:O13"/>
    <mergeCell ref="B105:P106"/>
    <mergeCell ref="C107:O118"/>
    <mergeCell ref="D52:M52"/>
    <mergeCell ref="D53:M53"/>
    <mergeCell ref="C102:H104"/>
    <mergeCell ref="K58:L58"/>
    <mergeCell ref="M58:N58"/>
  </mergeCells>
  <dataValidations count="2">
    <dataValidation allowBlank="1" showInputMessage="1" showErrorMessage="1" prompt="Explain in detail in the Notes (Attachment 18)." sqref="H91"/>
    <dataValidation allowBlank="1" showInputMessage="1" showErrorMessage="1" error="Enter only a number" prompt="Use numbers only.  Do not use a % sign or any other text in this box. " sqref="D94"/>
  </dataValidations>
  <printOptions horizontalCentered="1"/>
  <pageMargins left="0.25" right="0.25" top="0.5" bottom="0.5" header="0" footer="0"/>
  <pageSetup scale="66" fitToHeight="3" orientation="landscape" blackAndWhite="1" r:id="rId2"/>
  <headerFooter alignWithMargins="0"/>
  <rowBreaks count="2" manualBreakCount="2">
    <brk id="47" max="15" man="1"/>
    <brk id="50" max="16383" man="1"/>
  </rowBreaks>
  <ignoredErrors>
    <ignoredError sqref="K94"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7409" r:id="rId5" name="Button 1">
              <controlPr defaultSize="0" print="0" autoFill="0" autoPict="0" macro="[0]!BackMain">
                <anchor moveWithCells="1" sizeWithCells="1">
                  <from>
                    <xdr:col>1</xdr:col>
                    <xdr:colOff>7620</xdr:colOff>
                    <xdr:row>1</xdr:row>
                    <xdr:rowOff>60960</xdr:rowOff>
                  </from>
                  <to>
                    <xdr:col>2</xdr:col>
                    <xdr:colOff>99060</xdr:colOff>
                    <xdr:row>3</xdr:row>
                    <xdr:rowOff>91440</xdr:rowOff>
                  </to>
                </anchor>
              </controlPr>
            </control>
          </mc:Choice>
        </mc:AlternateContent>
        <mc:AlternateContent xmlns:mc="http://schemas.openxmlformats.org/markup-compatibility/2006">
          <mc:Choice Requires="x14">
            <control shapeId="17410" r:id="rId6" name="Button 2">
              <controlPr defaultSize="0" print="0" autoFill="0" autoPict="0" macro="[0]!BackMain">
                <anchor moveWithCells="1" sizeWithCells="1">
                  <from>
                    <xdr:col>2</xdr:col>
                    <xdr:colOff>449580</xdr:colOff>
                    <xdr:row>50</xdr:row>
                    <xdr:rowOff>76200</xdr:rowOff>
                  </from>
                  <to>
                    <xdr:col>2</xdr:col>
                    <xdr:colOff>1318260</xdr:colOff>
                    <xdr:row>53</xdr:row>
                    <xdr:rowOff>0</xdr:rowOff>
                  </to>
                </anchor>
              </controlPr>
            </control>
          </mc:Choice>
        </mc:AlternateContent>
        <mc:AlternateContent xmlns:mc="http://schemas.openxmlformats.org/markup-compatibility/2006">
          <mc:Choice Requires="x14">
            <control shapeId="17411" r:id="rId7" name="Button 3">
              <controlPr defaultSize="0" print="0" autoFill="0" autoPict="0" macro="[0]!BackMain">
                <anchor moveWithCells="1" sizeWithCells="1">
                  <from>
                    <xdr:col>14</xdr:col>
                    <xdr:colOff>762000</xdr:colOff>
                    <xdr:row>120</xdr:row>
                    <xdr:rowOff>114300</xdr:rowOff>
                  </from>
                  <to>
                    <xdr:col>16</xdr:col>
                    <xdr:colOff>7620</xdr:colOff>
                    <xdr:row>123</xdr:row>
                    <xdr:rowOff>60960</xdr:rowOff>
                  </to>
                </anchor>
              </controlPr>
            </control>
          </mc:Choice>
        </mc:AlternateContent>
        <mc:AlternateContent xmlns:mc="http://schemas.openxmlformats.org/markup-compatibility/2006">
          <mc:Choice Requires="x14">
            <control shapeId="17412" r:id="rId8" name="Button 4">
              <controlPr defaultSize="0" print="0" autoFill="0" autoPict="0" macro="[0]!PrintAttach12">
                <anchor moveWithCells="1" sizeWithCells="1">
                  <from>
                    <xdr:col>14</xdr:col>
                    <xdr:colOff>320040</xdr:colOff>
                    <xdr:row>1</xdr:row>
                    <xdr:rowOff>99060</xdr:rowOff>
                  </from>
                  <to>
                    <xdr:col>16</xdr:col>
                    <xdr:colOff>38100</xdr:colOff>
                    <xdr:row>3</xdr:row>
                    <xdr:rowOff>160020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O244"/>
  <sheetViews>
    <sheetView showGridLines="0" zoomScaleNormal="100" workbookViewId="0">
      <selection activeCell="J24" sqref="J24"/>
    </sheetView>
  </sheetViews>
  <sheetFormatPr defaultColWidth="9.109375" defaultRowHeight="13.2" x14ac:dyDescent="0.25"/>
  <cols>
    <col min="1" max="1" width="9.109375" style="15"/>
    <col min="2" max="4" width="10.33203125" style="28" customWidth="1"/>
    <col min="5" max="5" width="6.33203125" style="28" customWidth="1"/>
    <col min="6" max="6" width="12" style="28" customWidth="1"/>
    <col min="7" max="7" width="11" style="28" customWidth="1"/>
    <col min="8" max="8" width="7.109375" style="28" customWidth="1"/>
    <col min="9" max="9" width="15.33203125" style="28" customWidth="1"/>
    <col min="10" max="10" width="14" style="28" customWidth="1"/>
    <col min="11" max="11" width="14.6640625" style="28" customWidth="1"/>
    <col min="12" max="12" width="17.6640625" style="28" customWidth="1"/>
    <col min="13" max="14" width="9.109375" style="15"/>
    <col min="15" max="15" width="9.109375" style="1909"/>
    <col min="16" max="16384" width="9.109375" style="15"/>
  </cols>
  <sheetData>
    <row r="1" spans="1:14" x14ac:dyDescent="0.25">
      <c r="A1" s="299"/>
      <c r="B1" s="518"/>
      <c r="C1" s="475"/>
      <c r="D1" s="863"/>
      <c r="E1" s="475"/>
      <c r="F1" s="475"/>
      <c r="G1" s="475"/>
      <c r="H1" s="475"/>
      <c r="I1" s="475"/>
      <c r="J1" s="475"/>
      <c r="K1" s="475"/>
      <c r="L1" s="78"/>
      <c r="M1" s="470"/>
      <c r="N1" s="299"/>
    </row>
    <row r="2" spans="1:14" x14ac:dyDescent="0.25">
      <c r="A2" s="299"/>
      <c r="B2" s="475"/>
      <c r="C2" s="475"/>
      <c r="D2" s="475"/>
      <c r="E2" s="475"/>
      <c r="F2" s="475"/>
      <c r="G2" s="475"/>
      <c r="H2" s="475"/>
      <c r="I2" s="475"/>
      <c r="J2" s="475"/>
      <c r="K2" s="475"/>
      <c r="L2" s="469"/>
      <c r="M2" s="299"/>
      <c r="N2" s="299"/>
    </row>
    <row r="3" spans="1:14" x14ac:dyDescent="0.25">
      <c r="A3" s="299"/>
      <c r="B3" s="610"/>
      <c r="C3" s="2606"/>
      <c r="D3" s="2607"/>
      <c r="E3" s="2607"/>
      <c r="F3" s="2607"/>
      <c r="G3" s="2607"/>
      <c r="H3" s="2607"/>
      <c r="I3" s="2607"/>
      <c r="J3" s="2607"/>
      <c r="K3" s="2607"/>
      <c r="L3" s="469"/>
      <c r="M3" s="299"/>
      <c r="N3" s="299"/>
    </row>
    <row r="4" spans="1:14" ht="17.7" customHeight="1" x14ac:dyDescent="0.25">
      <c r="A4" s="299"/>
      <c r="B4" s="610"/>
      <c r="C4" s="2606" t="str">
        <f>Utility</f>
        <v>Cleveland Water Utility</v>
      </c>
      <c r="D4" s="2607"/>
      <c r="E4" s="2607"/>
      <c r="F4" s="2607"/>
      <c r="G4" s="2607"/>
      <c r="H4" s="2607"/>
      <c r="I4" s="2607"/>
      <c r="J4" s="2607"/>
      <c r="K4" s="2607"/>
      <c r="L4" s="469"/>
      <c r="M4" s="299"/>
      <c r="N4" s="299"/>
    </row>
    <row r="5" spans="1:14" ht="13.8" thickBot="1" x14ac:dyDescent="0.3">
      <c r="A5" s="299"/>
      <c r="B5" s="518" t="str">
        <f>TestYear &amp; " Test Year"</f>
        <v>2023 Test Year</v>
      </c>
      <c r="C5" s="610"/>
      <c r="D5" s="610"/>
      <c r="E5" s="610"/>
      <c r="F5" s="610"/>
      <c r="G5" s="475" t="str">
        <f>CONCATENATE("Estimated for Test Year ",TestYear)</f>
        <v>Estimated for Test Year 2023</v>
      </c>
      <c r="H5" s="610"/>
      <c r="I5" s="610"/>
      <c r="J5" s="610"/>
      <c r="K5" s="610"/>
      <c r="L5" s="469"/>
      <c r="M5" s="470" t="s">
        <v>580</v>
      </c>
      <c r="N5" s="299"/>
    </row>
    <row r="6" spans="1:14" ht="31.2" customHeight="1" thickTop="1" x14ac:dyDescent="0.25">
      <c r="A6" s="299"/>
      <c r="B6" s="836"/>
      <c r="C6" s="2608" t="str">
        <f>CONCATENATE("1. The depreciation accrual totals for ",TestYear-1," and ",TestYear," must agree with Attachment 12. For rate case purposes, major construction additions are factored into the calculated accrual as if in service the entire year.")</f>
        <v>1. The depreciation accrual totals for 2022 and 2023 must agree with Attachment 12. For rate case purposes, major construction additions are factored into the calculated accrual as if in service the entire year.</v>
      </c>
      <c r="D6" s="2608"/>
      <c r="E6" s="2608"/>
      <c r="F6" s="2608"/>
      <c r="G6" s="2608"/>
      <c r="H6" s="2608"/>
      <c r="I6" s="2608"/>
      <c r="J6" s="2608"/>
      <c r="K6" s="2608"/>
      <c r="L6" s="2608"/>
      <c r="M6" s="335"/>
      <c r="N6" s="299"/>
    </row>
    <row r="7" spans="1:14" ht="30" customHeight="1" x14ac:dyDescent="0.25">
      <c r="A7" s="299"/>
      <c r="B7" s="497"/>
      <c r="C7" s="2609" t="str">
        <f>CONCATENATE("2. The plant retirements totals for ",TestYear-1," and ",TestYear," must agree with Attachment 11. If test year retirements are being retired as a result of major construction project, indicate that portion in the major projects column.")</f>
        <v>2. The plant retirements totals for 2022 and 2023 must agree with Attachment 11. If test year retirements are being retired as a result of major construction project, indicate that portion in the major projects column.</v>
      </c>
      <c r="D7" s="2609"/>
      <c r="E7" s="2609"/>
      <c r="F7" s="2609"/>
      <c r="G7" s="2609"/>
      <c r="H7" s="2609"/>
      <c r="I7" s="2609"/>
      <c r="J7" s="2609"/>
      <c r="K7" s="2609"/>
      <c r="L7" s="2609"/>
      <c r="M7" s="336"/>
      <c r="N7" s="299"/>
    </row>
    <row r="8" spans="1:14" ht="29.4" customHeight="1" x14ac:dyDescent="0.25">
      <c r="A8" s="299"/>
      <c r="B8" s="497"/>
      <c r="C8" s="2609" t="str">
        <f>CONCATENATE("3. If there is a variance to the prior year balance of more or less than 15%, please state the basis used for developing the M &amp; S estimates for ",TestYear-1," &amp; ",TestYear,".")</f>
        <v>3. If there is a variance to the prior year balance of more or less than 15%, please state the basis used for developing the M &amp; S estimates for 2022 &amp; 2023.</v>
      </c>
      <c r="D8" s="2609"/>
      <c r="E8" s="2609"/>
      <c r="F8" s="2609"/>
      <c r="G8" s="2609"/>
      <c r="H8" s="2609"/>
      <c r="I8" s="2609"/>
      <c r="J8" s="2609"/>
      <c r="K8" s="2609"/>
      <c r="L8" s="2609"/>
      <c r="M8" s="336"/>
      <c r="N8" s="299"/>
    </row>
    <row r="9" spans="1:14" ht="13.8" x14ac:dyDescent="0.25">
      <c r="A9" s="299"/>
      <c r="B9" s="497"/>
      <c r="C9" s="2129" t="s">
        <v>1347</v>
      </c>
      <c r="D9" s="2128"/>
      <c r="E9" s="2128"/>
      <c r="F9" s="2128"/>
      <c r="G9" s="2128"/>
      <c r="H9" s="2128"/>
      <c r="I9" s="2128"/>
      <c r="J9" s="2128"/>
      <c r="K9" s="2128"/>
      <c r="L9" s="2128"/>
      <c r="M9" s="336"/>
      <c r="N9" s="299"/>
    </row>
    <row r="10" spans="1:14" ht="13.8" x14ac:dyDescent="0.25">
      <c r="A10" s="299"/>
      <c r="B10" s="497"/>
      <c r="C10" s="2610"/>
      <c r="D10" s="2610"/>
      <c r="E10" s="2610"/>
      <c r="F10" s="2610"/>
      <c r="G10" s="2610"/>
      <c r="H10" s="2610"/>
      <c r="I10" s="2610"/>
      <c r="J10" s="2610"/>
      <c r="K10" s="2610"/>
      <c r="L10" s="2610"/>
      <c r="M10" s="336"/>
      <c r="N10" s="299"/>
    </row>
    <row r="11" spans="1:14" ht="13.8" hidden="1" x14ac:dyDescent="0.25">
      <c r="A11" s="299"/>
      <c r="B11" s="497"/>
      <c r="C11" s="542"/>
      <c r="D11" s="486"/>
      <c r="E11" s="486"/>
      <c r="F11" s="486"/>
      <c r="G11" s="486"/>
      <c r="H11" s="540"/>
      <c r="I11" s="540"/>
      <c r="J11" s="540"/>
      <c r="K11" s="486"/>
      <c r="L11" s="514"/>
      <c r="M11" s="336"/>
      <c r="N11" s="299"/>
    </row>
    <row r="12" spans="1:14" ht="13.8" x14ac:dyDescent="0.25">
      <c r="A12" s="299"/>
      <c r="B12" s="2127"/>
      <c r="C12" s="542"/>
      <c r="D12" s="486"/>
      <c r="E12" s="486"/>
      <c r="F12" s="486"/>
      <c r="G12" s="486"/>
      <c r="H12" s="540"/>
      <c r="I12" s="540"/>
      <c r="J12" s="540"/>
      <c r="K12" s="486"/>
      <c r="L12" s="514" t="s">
        <v>313</v>
      </c>
      <c r="M12" s="336"/>
      <c r="N12" s="299"/>
    </row>
    <row r="13" spans="1:14" ht="13.8" x14ac:dyDescent="0.25">
      <c r="A13" s="299"/>
      <c r="B13" s="837" t="s">
        <v>581</v>
      </c>
      <c r="C13" s="486"/>
      <c r="D13" s="540"/>
      <c r="E13" s="540"/>
      <c r="F13" s="540"/>
      <c r="G13" s="540"/>
      <c r="H13" s="540"/>
      <c r="I13" s="838" t="s">
        <v>582</v>
      </c>
      <c r="J13" s="839" t="s">
        <v>569</v>
      </c>
      <c r="K13" s="840" t="s">
        <v>172</v>
      </c>
      <c r="L13" s="839" t="s">
        <v>583</v>
      </c>
      <c r="M13" s="853"/>
      <c r="N13" s="299"/>
    </row>
    <row r="14" spans="1:14" ht="16.5" customHeight="1" x14ac:dyDescent="0.25">
      <c r="A14" s="299"/>
      <c r="B14" s="841"/>
      <c r="C14" s="502" t="str">
        <f>CONCATENATE("January 1, ",TestYear-1," Balance")</f>
        <v>January 1, 2022 Balance</v>
      </c>
      <c r="D14" s="502"/>
      <c r="E14" s="502"/>
      <c r="F14" s="2604" t="str">
        <f>CONCATENATE("(",Data!H5,")")</f>
        <v>(Estimated)</v>
      </c>
      <c r="G14" s="2605"/>
      <c r="H14" s="842"/>
      <c r="I14" s="854"/>
      <c r="J14" s="854"/>
      <c r="K14" s="843">
        <f>Data!B165</f>
        <v>1028750</v>
      </c>
      <c r="L14" s="855"/>
      <c r="M14" s="853"/>
      <c r="N14" s="299"/>
    </row>
    <row r="15" spans="1:14" ht="13.8" x14ac:dyDescent="0.25">
      <c r="A15" s="299"/>
      <c r="B15" s="841"/>
      <c r="C15" s="502" t="s">
        <v>584</v>
      </c>
      <c r="D15" s="502" t="s">
        <v>585</v>
      </c>
      <c r="E15" s="502"/>
      <c r="F15" s="2604" t="s">
        <v>586</v>
      </c>
      <c r="G15" s="2605"/>
      <c r="H15" s="498" t="s">
        <v>402</v>
      </c>
      <c r="I15" s="856"/>
      <c r="J15" s="856"/>
      <c r="K15" s="817">
        <f>Attach12!H93</f>
        <v>63716</v>
      </c>
      <c r="L15" s="855"/>
      <c r="M15" s="853"/>
      <c r="N15" s="299"/>
    </row>
    <row r="16" spans="1:14" ht="13.8" x14ac:dyDescent="0.25">
      <c r="A16" s="299"/>
      <c r="B16" s="841"/>
      <c r="C16" s="502"/>
      <c r="D16" s="502" t="s">
        <v>587</v>
      </c>
      <c r="E16" s="502"/>
      <c r="F16" s="2604" t="str">
        <f>F14</f>
        <v>(Estimated)</v>
      </c>
      <c r="G16" s="2605"/>
      <c r="H16" s="498"/>
      <c r="I16" s="854"/>
      <c r="J16" s="843">
        <f>Data!E165</f>
        <v>0</v>
      </c>
      <c r="K16" s="817">
        <f>J16</f>
        <v>0</v>
      </c>
      <c r="L16" s="855"/>
      <c r="M16" s="853"/>
      <c r="N16" s="299"/>
    </row>
    <row r="17" spans="1:14" ht="13.8" x14ac:dyDescent="0.25">
      <c r="A17" s="299"/>
      <c r="B17" s="841"/>
      <c r="C17" s="828" t="s">
        <v>588</v>
      </c>
      <c r="D17" s="502" t="s">
        <v>498</v>
      </c>
      <c r="E17" s="502"/>
      <c r="F17" s="2604" t="s">
        <v>561</v>
      </c>
      <c r="G17" s="2605"/>
      <c r="H17" s="498" t="s">
        <v>404</v>
      </c>
      <c r="I17" s="856"/>
      <c r="J17" s="856"/>
      <c r="K17" s="817">
        <f>Attach11!F92-Attach11!F21-Attach11!F24-Attach11!F35-Attach11!F45-Attach11!F64-Attach11!F77</f>
        <v>84290</v>
      </c>
      <c r="L17" s="855"/>
      <c r="M17" s="853"/>
      <c r="N17" s="299"/>
    </row>
    <row r="18" spans="1:14" ht="13.8" x14ac:dyDescent="0.25">
      <c r="A18" s="299"/>
      <c r="B18" s="841"/>
      <c r="C18" s="502"/>
      <c r="D18" s="502" t="s">
        <v>589</v>
      </c>
      <c r="E18" s="502"/>
      <c r="F18" s="2604" t="str">
        <f>F16</f>
        <v>(Estimated)</v>
      </c>
      <c r="G18" s="2605"/>
      <c r="H18" s="498"/>
      <c r="I18" s="854"/>
      <c r="J18" s="843">
        <f>Data!G165</f>
        <v>0</v>
      </c>
      <c r="K18" s="817">
        <f>J18</f>
        <v>0</v>
      </c>
      <c r="L18" s="855"/>
      <c r="M18" s="853"/>
      <c r="N18" s="299"/>
    </row>
    <row r="19" spans="1:14" ht="13.8" x14ac:dyDescent="0.25">
      <c r="A19" s="299"/>
      <c r="B19" s="841"/>
      <c r="C19" s="502" t="s">
        <v>499</v>
      </c>
      <c r="D19" s="502"/>
      <c r="E19" s="502"/>
      <c r="F19" s="844" t="s">
        <v>590</v>
      </c>
      <c r="G19" s="845"/>
      <c r="H19" s="498" t="s">
        <v>406</v>
      </c>
      <c r="I19" s="854"/>
      <c r="J19" s="852">
        <v>0</v>
      </c>
      <c r="K19" s="818">
        <f>J19</f>
        <v>0</v>
      </c>
      <c r="L19" s="855"/>
      <c r="M19" s="853"/>
      <c r="N19" s="299"/>
    </row>
    <row r="20" spans="1:14" ht="13.8" x14ac:dyDescent="0.25">
      <c r="A20" s="299"/>
      <c r="B20" s="841"/>
      <c r="C20" s="502" t="str">
        <f>CONCATENATE("December 31, ",TestYear-1," Balance")</f>
        <v>December 31, 2022 Balance</v>
      </c>
      <c r="D20" s="502"/>
      <c r="E20" s="502"/>
      <c r="F20" s="2604" t="str">
        <f>F16</f>
        <v>(Estimated)</v>
      </c>
      <c r="G20" s="2605"/>
      <c r="H20" s="498"/>
      <c r="I20" s="854"/>
      <c r="J20" s="854"/>
      <c r="K20" s="483">
        <f>K14+K15+K16-K17-K18+K19</f>
        <v>1008176</v>
      </c>
      <c r="L20" s="550">
        <f>ROUND(K20,0)</f>
        <v>1008176</v>
      </c>
      <c r="M20" s="853"/>
      <c r="N20" s="299"/>
    </row>
    <row r="21" spans="1:14" ht="13.8" x14ac:dyDescent="0.25">
      <c r="A21" s="299"/>
      <c r="B21" s="841"/>
      <c r="C21" s="502" t="s">
        <v>584</v>
      </c>
      <c r="D21" s="502" t="s">
        <v>585</v>
      </c>
      <c r="E21" s="502"/>
      <c r="F21" s="2604" t="s">
        <v>586</v>
      </c>
      <c r="G21" s="2605"/>
      <c r="H21" s="498" t="s">
        <v>402</v>
      </c>
      <c r="I21" s="857">
        <f>Attach12!M89</f>
        <v>0</v>
      </c>
      <c r="J21" s="858">
        <f>Attach12!O93-Attach12!M89</f>
        <v>75982</v>
      </c>
      <c r="K21" s="817">
        <f>I21+J21</f>
        <v>75982</v>
      </c>
      <c r="L21" s="487">
        <f>ROUND((I21+(J21 *0.5)),0)</f>
        <v>37991</v>
      </c>
      <c r="M21" s="853"/>
      <c r="N21" s="299"/>
    </row>
    <row r="22" spans="1:14" ht="13.8" x14ac:dyDescent="0.25">
      <c r="A22" s="299"/>
      <c r="B22" s="841"/>
      <c r="C22" s="502"/>
      <c r="D22" s="502" t="s">
        <v>587</v>
      </c>
      <c r="E22" s="502"/>
      <c r="F22" s="2604" t="s">
        <v>591</v>
      </c>
      <c r="G22" s="2605"/>
      <c r="H22" s="498"/>
      <c r="I22" s="1142">
        <v>0</v>
      </c>
      <c r="J22" s="1142">
        <v>0</v>
      </c>
      <c r="K22" s="817">
        <f>I22+J22</f>
        <v>0</v>
      </c>
      <c r="L22" s="487">
        <f>ROUND((I22+(J22 *0.5)),0)</f>
        <v>0</v>
      </c>
      <c r="M22" s="853"/>
      <c r="N22" s="299"/>
    </row>
    <row r="23" spans="1:14" ht="13.8" x14ac:dyDescent="0.25">
      <c r="A23" s="299"/>
      <c r="B23" s="841"/>
      <c r="C23" s="828" t="s">
        <v>588</v>
      </c>
      <c r="D23" s="502" t="s">
        <v>498</v>
      </c>
      <c r="E23" s="502"/>
      <c r="F23" s="2604" t="s">
        <v>561</v>
      </c>
      <c r="G23" s="2604"/>
      <c r="H23" s="498" t="s">
        <v>404</v>
      </c>
      <c r="I23" s="1141">
        <f>Attach11!J92-SUM(Attach11!J21,Attach11!J24,Attach11!J35,Attach11!J45,Attach11!J64,Attach11!J77)</f>
        <v>0</v>
      </c>
      <c r="J23" s="1141">
        <f>Attach11!L92-SUM(Attach11!L21,Attach11!L24,Attach11!L35,Attach11!L45,Attach11!L64,Attach11!L77)</f>
        <v>178240</v>
      </c>
      <c r="K23" s="487">
        <f>I23+J23</f>
        <v>178240</v>
      </c>
      <c r="L23" s="487">
        <f>ROUND((I23+(J23 *0.5)),0)</f>
        <v>89120</v>
      </c>
      <c r="M23" s="853"/>
      <c r="N23" s="299"/>
    </row>
    <row r="24" spans="1:14" ht="13.8" x14ac:dyDescent="0.25">
      <c r="A24" s="299"/>
      <c r="B24" s="841"/>
      <c r="C24" s="502"/>
      <c r="D24" s="502" t="s">
        <v>589</v>
      </c>
      <c r="E24" s="502"/>
      <c r="F24" s="2604" t="s">
        <v>591</v>
      </c>
      <c r="G24" s="2605"/>
      <c r="H24" s="498"/>
      <c r="I24" s="1142">
        <v>0</v>
      </c>
      <c r="J24" s="1144">
        <v>11500</v>
      </c>
      <c r="K24" s="818">
        <f>I24+J24</f>
        <v>11500</v>
      </c>
      <c r="L24" s="488">
        <f>ROUND((I24+(J24 *0.5)),0)</f>
        <v>5750</v>
      </c>
      <c r="M24" s="853"/>
      <c r="N24" s="299"/>
    </row>
    <row r="25" spans="1:14" ht="14.4" thickBot="1" x14ac:dyDescent="0.3">
      <c r="A25" s="299"/>
      <c r="B25" s="841"/>
      <c r="C25" s="502" t="str">
        <f>CONCATENATE("December 31, ",TestYear," Balance")</f>
        <v>December 31, 2023 Balance</v>
      </c>
      <c r="D25" s="502"/>
      <c r="E25" s="502"/>
      <c r="F25" s="2604" t="s">
        <v>591</v>
      </c>
      <c r="G25" s="2605"/>
      <c r="H25" s="498"/>
      <c r="I25" s="542"/>
      <c r="J25" s="542"/>
      <c r="K25" s="819">
        <f>K20+K21+K22-K23-K24</f>
        <v>894418</v>
      </c>
      <c r="L25" s="846"/>
      <c r="M25" s="853"/>
      <c r="N25" s="299"/>
    </row>
    <row r="26" spans="1:14" ht="15" thickTop="1" thickBot="1" x14ac:dyDescent="0.3">
      <c r="A26" s="299"/>
      <c r="B26" s="841"/>
      <c r="C26" s="502"/>
      <c r="D26" s="502"/>
      <c r="E26" s="502"/>
      <c r="F26" s="847"/>
      <c r="G26" s="845"/>
      <c r="H26" s="498"/>
      <c r="I26" s="542"/>
      <c r="J26" s="486"/>
      <c r="K26" s="859" t="s">
        <v>592</v>
      </c>
      <c r="L26" s="819">
        <f>ROUND(L20+L21+L22-L23-L24,0)</f>
        <v>951297</v>
      </c>
      <c r="M26" s="853"/>
      <c r="N26" s="299"/>
    </row>
    <row r="27" spans="1:14" ht="14.4" thickTop="1" x14ac:dyDescent="0.25">
      <c r="A27" s="299"/>
      <c r="B27" s="841"/>
      <c r="C27" s="502"/>
      <c r="D27" s="848"/>
      <c r="E27" s="502"/>
      <c r="F27" s="832"/>
      <c r="G27" s="832"/>
      <c r="H27" s="498"/>
      <c r="I27" s="542"/>
      <c r="J27" s="542"/>
      <c r="K27" s="541"/>
      <c r="L27" s="541"/>
      <c r="M27" s="853"/>
      <c r="N27" s="299"/>
    </row>
    <row r="28" spans="1:14" ht="13.8" x14ac:dyDescent="0.25">
      <c r="A28" s="299"/>
      <c r="B28" s="2126"/>
      <c r="C28" s="502"/>
      <c r="D28" s="502"/>
      <c r="E28" s="502"/>
      <c r="F28" s="502"/>
      <c r="G28" s="502"/>
      <c r="H28" s="498"/>
      <c r="I28" s="486"/>
      <c r="J28" s="486"/>
      <c r="K28" s="491"/>
      <c r="L28" s="486"/>
      <c r="M28" s="853"/>
      <c r="N28" s="299"/>
    </row>
    <row r="29" spans="1:14" ht="13.8" x14ac:dyDescent="0.25">
      <c r="A29" s="299"/>
      <c r="B29" s="837" t="s">
        <v>593</v>
      </c>
      <c r="C29" s="502"/>
      <c r="D29" s="832"/>
      <c r="E29" s="832"/>
      <c r="F29" s="832"/>
      <c r="G29" s="832"/>
      <c r="H29" s="498"/>
      <c r="I29" s="540"/>
      <c r="J29" s="540"/>
      <c r="K29" s="860"/>
      <c r="L29" s="514" t="s">
        <v>313</v>
      </c>
      <c r="M29" s="853"/>
      <c r="N29" s="299"/>
    </row>
    <row r="30" spans="1:14" ht="13.8" x14ac:dyDescent="0.25">
      <c r="A30" s="299"/>
      <c r="B30" s="813"/>
      <c r="C30" s="502" t="s">
        <v>594</v>
      </c>
      <c r="D30" s="502"/>
      <c r="E30" s="502"/>
      <c r="F30" s="502"/>
      <c r="G30" s="502"/>
      <c r="H30" s="498"/>
      <c r="I30" s="486"/>
      <c r="J30" s="486"/>
      <c r="K30" s="491"/>
      <c r="L30" s="861" t="s">
        <v>583</v>
      </c>
      <c r="M30" s="853"/>
      <c r="N30" s="299"/>
    </row>
    <row r="31" spans="1:14" ht="13.8" x14ac:dyDescent="0.25">
      <c r="A31" s="299"/>
      <c r="B31" s="813"/>
      <c r="C31" s="502"/>
      <c r="D31" s="502" t="str">
        <f>CONCATENATE("  December 31, ",TestYear-4)</f>
        <v xml:space="preserve">  December 31, 2019</v>
      </c>
      <c r="E31" s="502"/>
      <c r="F31" s="502"/>
      <c r="G31" s="847" t="s">
        <v>595</v>
      </c>
      <c r="H31" s="498"/>
      <c r="I31" s="858">
        <f>Data!B171</f>
        <v>18767</v>
      </c>
      <c r="J31" s="486"/>
      <c r="K31" s="486"/>
      <c r="L31" s="855"/>
      <c r="M31" s="853"/>
      <c r="N31" s="299"/>
    </row>
    <row r="32" spans="1:14" ht="13.8" x14ac:dyDescent="0.25">
      <c r="A32" s="299"/>
      <c r="B32" s="813"/>
      <c r="C32" s="502"/>
      <c r="D32" s="502" t="str">
        <f>CONCATENATE("  December 31, ",TestYear-3)</f>
        <v xml:space="preserve">  December 31, 2020</v>
      </c>
      <c r="E32" s="502"/>
      <c r="F32" s="502"/>
      <c r="G32" s="847" t="s">
        <v>595</v>
      </c>
      <c r="H32" s="498"/>
      <c r="I32" s="817">
        <f>Data!B170</f>
        <v>17705</v>
      </c>
      <c r="J32" s="486"/>
      <c r="K32" s="486"/>
      <c r="L32" s="855"/>
      <c r="M32" s="853"/>
      <c r="N32" s="299"/>
    </row>
    <row r="33" spans="1:14" ht="13.8" x14ac:dyDescent="0.25">
      <c r="A33" s="299"/>
      <c r="B33" s="813"/>
      <c r="C33" s="502"/>
      <c r="D33" s="502" t="str">
        <f>CONCATENATE("  December 31, ",TestYear-2)</f>
        <v xml:space="preserve">  December 31, 2021</v>
      </c>
      <c r="E33" s="502"/>
      <c r="F33" s="502"/>
      <c r="G33" s="847" t="s">
        <v>595</v>
      </c>
      <c r="H33" s="498"/>
      <c r="I33" s="817">
        <f>Data!B169</f>
        <v>22568</v>
      </c>
      <c r="J33" s="486"/>
      <c r="K33" s="486"/>
      <c r="L33" s="855"/>
      <c r="M33" s="853"/>
      <c r="N33" s="299"/>
    </row>
    <row r="34" spans="1:14" ht="13.8" x14ac:dyDescent="0.25">
      <c r="A34" s="299"/>
      <c r="B34" s="813"/>
      <c r="C34" s="502"/>
      <c r="D34" s="502" t="str">
        <f>CONCATENATE("  December 31, ",TestYear-1)</f>
        <v xml:space="preserve">  December 31, 2022</v>
      </c>
      <c r="E34" s="502"/>
      <c r="F34" s="502"/>
      <c r="G34" s="847" t="str">
        <f>F14</f>
        <v>(Estimated)</v>
      </c>
      <c r="H34" s="498" t="s">
        <v>408</v>
      </c>
      <c r="I34" s="850">
        <v>23000</v>
      </c>
      <c r="J34" s="540"/>
      <c r="K34" s="486"/>
      <c r="L34" s="1137">
        <f>ROUND(I34*0.5,0)</f>
        <v>11500</v>
      </c>
      <c r="M34" s="853"/>
      <c r="N34" s="299"/>
    </row>
    <row r="35" spans="1:14" ht="13.8" x14ac:dyDescent="0.25">
      <c r="A35" s="299"/>
      <c r="B35" s="813"/>
      <c r="C35" s="502"/>
      <c r="D35" s="502" t="str">
        <f>CONCATENATE("  December 31, ",TestYear)</f>
        <v xml:space="preserve">  December 31, 2023</v>
      </c>
      <c r="E35" s="502"/>
      <c r="F35" s="502"/>
      <c r="G35" s="847" t="s">
        <v>591</v>
      </c>
      <c r="H35" s="498" t="s">
        <v>408</v>
      </c>
      <c r="I35" s="485">
        <v>24000</v>
      </c>
      <c r="J35" s="540"/>
      <c r="K35" s="486"/>
      <c r="L35" s="1138">
        <f>ROUND(I35*0.5,0)</f>
        <v>12000</v>
      </c>
      <c r="M35" s="853"/>
      <c r="N35" s="299"/>
    </row>
    <row r="36" spans="1:14" ht="14.4" thickBot="1" x14ac:dyDescent="0.3">
      <c r="A36" s="299"/>
      <c r="B36" s="813"/>
      <c r="C36" s="502"/>
      <c r="D36" s="502"/>
      <c r="E36" s="502"/>
      <c r="F36" s="502"/>
      <c r="G36" s="502"/>
      <c r="H36" s="498"/>
      <c r="I36" s="486"/>
      <c r="J36" s="486"/>
      <c r="K36" s="859" t="s">
        <v>592</v>
      </c>
      <c r="L36" s="862">
        <f>SUM(L34:L35)</f>
        <v>23500</v>
      </c>
      <c r="M36" s="853"/>
      <c r="N36" s="299"/>
    </row>
    <row r="37" spans="1:14" ht="14.4" thickTop="1" x14ac:dyDescent="0.25">
      <c r="A37" s="299"/>
      <c r="B37" s="813"/>
      <c r="C37" s="502"/>
      <c r="D37" s="502"/>
      <c r="E37" s="502"/>
      <c r="F37" s="502"/>
      <c r="G37" s="502"/>
      <c r="H37" s="498"/>
      <c r="I37" s="486"/>
      <c r="J37" s="486"/>
      <c r="K37" s="859"/>
      <c r="L37" s="544"/>
      <c r="M37" s="853"/>
      <c r="N37" s="299"/>
    </row>
    <row r="38" spans="1:14" ht="13.8" x14ac:dyDescent="0.25">
      <c r="A38" s="299"/>
      <c r="B38" s="851" t="s">
        <v>596</v>
      </c>
      <c r="C38" s="502"/>
      <c r="D38" s="502"/>
      <c r="E38" s="502"/>
      <c r="F38" s="502"/>
      <c r="G38" s="502"/>
      <c r="H38" s="498"/>
      <c r="I38" s="499" t="s">
        <v>597</v>
      </c>
      <c r="J38" s="486"/>
      <c r="K38" s="859"/>
      <c r="L38" s="514" t="s">
        <v>313</v>
      </c>
      <c r="M38" s="853"/>
      <c r="N38" s="299"/>
    </row>
    <row r="39" spans="1:14" ht="13.8" x14ac:dyDescent="0.25">
      <c r="A39" s="299"/>
      <c r="B39" s="813"/>
      <c r="C39" s="502" t="s">
        <v>598</v>
      </c>
      <c r="D39" s="502"/>
      <c r="E39" s="502"/>
      <c r="F39" s="502"/>
      <c r="G39" s="502"/>
      <c r="H39" s="498"/>
      <c r="I39" s="501" t="s">
        <v>599</v>
      </c>
      <c r="J39" s="501"/>
      <c r="K39" s="501" t="s">
        <v>172</v>
      </c>
      <c r="L39" s="861" t="s">
        <v>583</v>
      </c>
      <c r="M39" s="853"/>
      <c r="N39" s="299"/>
    </row>
    <row r="40" spans="1:14" ht="13.8" x14ac:dyDescent="0.25">
      <c r="A40" s="299"/>
      <c r="B40" s="813"/>
      <c r="C40" s="502"/>
      <c r="D40" s="502" t="str">
        <f>CONCATENATE("  December 31, ",TestYear-2)</f>
        <v xml:space="preserve">  December 31, 2021</v>
      </c>
      <c r="E40" s="502"/>
      <c r="F40" s="502"/>
      <c r="G40" s="847" t="s">
        <v>595</v>
      </c>
      <c r="H40" s="498" t="s">
        <v>410</v>
      </c>
      <c r="I40" s="858">
        <f>Data!B173</f>
        <v>10798</v>
      </c>
      <c r="J40" s="843"/>
      <c r="K40" s="858">
        <f>I40+J40</f>
        <v>10798</v>
      </c>
      <c r="L40" s="855"/>
      <c r="M40" s="503"/>
      <c r="N40" s="299"/>
    </row>
    <row r="41" spans="1:14" ht="13.8" x14ac:dyDescent="0.25">
      <c r="A41" s="299"/>
      <c r="B41" s="841"/>
      <c r="C41" s="502"/>
      <c r="D41" s="502" t="str">
        <f>CONCATENATE("  December 31, ",TestYear-1)</f>
        <v xml:space="preserve">  December 31, 2022</v>
      </c>
      <c r="E41" s="502"/>
      <c r="F41" s="502"/>
      <c r="G41" s="847" t="str">
        <f>F14</f>
        <v>(Estimated)</v>
      </c>
      <c r="H41" s="498" t="s">
        <v>410</v>
      </c>
      <c r="I41" s="843">
        <v>5399</v>
      </c>
      <c r="J41" s="843"/>
      <c r="K41" s="817">
        <f>I41+J41</f>
        <v>5399</v>
      </c>
      <c r="L41" s="550">
        <f>ROUND(K41*0.5,0)</f>
        <v>2700</v>
      </c>
      <c r="M41" s="853"/>
      <c r="N41" s="299"/>
    </row>
    <row r="42" spans="1:14" ht="13.8" x14ac:dyDescent="0.25">
      <c r="A42" s="299"/>
      <c r="B42" s="841"/>
      <c r="C42" s="502"/>
      <c r="D42" s="502" t="str">
        <f>CONCATENATE("  December 31, ",TestYear)</f>
        <v xml:space="preserve">  December 31, 2023</v>
      </c>
      <c r="E42" s="502"/>
      <c r="F42" s="502"/>
      <c r="G42" s="847" t="str">
        <f>F25</f>
        <v>(Estimated)</v>
      </c>
      <c r="H42" s="498" t="s">
        <v>410</v>
      </c>
      <c r="I42" s="1144">
        <v>0</v>
      </c>
      <c r="J42" s="850"/>
      <c r="K42" s="817">
        <f>I42+J42</f>
        <v>0</v>
      </c>
      <c r="L42" s="550">
        <f>ROUND(K42*0.5,0)</f>
        <v>0</v>
      </c>
      <c r="M42" s="853"/>
      <c r="N42" s="299"/>
    </row>
    <row r="43" spans="1:14" ht="14.4" thickBot="1" x14ac:dyDescent="0.3">
      <c r="A43" s="299"/>
      <c r="B43" s="841"/>
      <c r="C43" s="849"/>
      <c r="D43" s="849"/>
      <c r="E43" s="849"/>
      <c r="F43" s="849"/>
      <c r="G43" s="849"/>
      <c r="H43" s="486"/>
      <c r="I43" s="486"/>
      <c r="J43" s="486"/>
      <c r="K43" s="859" t="s">
        <v>592</v>
      </c>
      <c r="L43" s="862">
        <f>SUM(L41:L42)</f>
        <v>2700</v>
      </c>
      <c r="M43" s="853"/>
      <c r="N43" s="299"/>
    </row>
    <row r="44" spans="1:14" ht="14.4" thickTop="1" x14ac:dyDescent="0.25">
      <c r="A44" s="299"/>
      <c r="B44" s="841"/>
      <c r="C44" s="849"/>
      <c r="D44" s="486"/>
      <c r="E44" s="486"/>
      <c r="F44" s="486"/>
      <c r="G44" s="486"/>
      <c r="H44" s="486"/>
      <c r="I44" s="486"/>
      <c r="J44" s="486"/>
      <c r="K44" s="486"/>
      <c r="L44" s="486"/>
      <c r="M44" s="853"/>
      <c r="N44" s="299"/>
    </row>
    <row r="45" spans="1:14" ht="13.8" thickBot="1" x14ac:dyDescent="0.3">
      <c r="A45" s="299"/>
      <c r="B45" s="834"/>
      <c r="C45" s="606"/>
      <c r="D45" s="231"/>
      <c r="E45" s="231"/>
      <c r="F45" s="231"/>
      <c r="G45" s="231"/>
      <c r="H45" s="231"/>
      <c r="I45" s="231"/>
      <c r="J45" s="231"/>
      <c r="K45" s="231"/>
      <c r="L45" s="231"/>
      <c r="M45" s="343"/>
      <c r="N45" s="299"/>
    </row>
    <row r="46" spans="1:14" ht="13.8" thickTop="1" x14ac:dyDescent="0.25">
      <c r="A46" s="299"/>
      <c r="B46" s="78"/>
      <c r="C46" s="79"/>
      <c r="D46" s="78"/>
      <c r="E46" s="78"/>
      <c r="F46" s="78"/>
      <c r="G46" s="78"/>
      <c r="H46" s="78"/>
      <c r="I46" s="78"/>
      <c r="J46" s="78"/>
      <c r="K46" s="78"/>
      <c r="L46" s="78"/>
      <c r="M46" s="299"/>
      <c r="N46" s="299"/>
    </row>
    <row r="47" spans="1:14" x14ac:dyDescent="0.25">
      <c r="A47" s="299"/>
      <c r="B47" s="2593" t="s">
        <v>1232</v>
      </c>
      <c r="C47" s="2594"/>
      <c r="D47" s="2594"/>
      <c r="E47" s="2594"/>
      <c r="F47" s="2594"/>
      <c r="G47" s="2594"/>
      <c r="H47" s="2594"/>
      <c r="I47" s="2594"/>
      <c r="J47" s="2594"/>
      <c r="K47" s="2594"/>
      <c r="L47" s="2594"/>
      <c r="M47" s="2595"/>
      <c r="N47" s="299"/>
    </row>
    <row r="48" spans="1:14" x14ac:dyDescent="0.25">
      <c r="A48" s="299"/>
      <c r="B48" s="2359"/>
      <c r="C48" s="2360"/>
      <c r="D48" s="2360"/>
      <c r="E48" s="2360"/>
      <c r="F48" s="2360"/>
      <c r="G48" s="2360"/>
      <c r="H48" s="2360"/>
      <c r="I48" s="2360"/>
      <c r="J48" s="2360"/>
      <c r="K48" s="2360"/>
      <c r="L48" s="2360"/>
      <c r="M48" s="2361"/>
      <c r="N48" s="299"/>
    </row>
    <row r="49" spans="1:14" x14ac:dyDescent="0.25">
      <c r="A49" s="299"/>
      <c r="B49" s="1765"/>
      <c r="C49" s="2596"/>
      <c r="D49" s="2597"/>
      <c r="E49" s="2597"/>
      <c r="F49" s="2597"/>
      <c r="G49" s="2597"/>
      <c r="H49" s="2597"/>
      <c r="I49" s="2597"/>
      <c r="J49" s="2597"/>
      <c r="K49" s="2597"/>
      <c r="L49" s="2598"/>
      <c r="M49" s="1911"/>
      <c r="N49" s="299"/>
    </row>
    <row r="50" spans="1:14" x14ac:dyDescent="0.25">
      <c r="A50" s="299"/>
      <c r="B50" s="1765"/>
      <c r="C50" s="2599"/>
      <c r="D50" s="2511"/>
      <c r="E50" s="2511"/>
      <c r="F50" s="2511"/>
      <c r="G50" s="2511"/>
      <c r="H50" s="2511"/>
      <c r="I50" s="2511"/>
      <c r="J50" s="2511"/>
      <c r="K50" s="2511"/>
      <c r="L50" s="2600"/>
      <c r="M50" s="1911"/>
      <c r="N50" s="299"/>
    </row>
    <row r="51" spans="1:14" x14ac:dyDescent="0.25">
      <c r="A51" s="299"/>
      <c r="B51" s="1765"/>
      <c r="C51" s="2599"/>
      <c r="D51" s="2511"/>
      <c r="E51" s="2511"/>
      <c r="F51" s="2511"/>
      <c r="G51" s="2511"/>
      <c r="H51" s="2511"/>
      <c r="I51" s="2511"/>
      <c r="J51" s="2511"/>
      <c r="K51" s="2511"/>
      <c r="L51" s="2600"/>
      <c r="M51" s="1911"/>
      <c r="N51" s="299"/>
    </row>
    <row r="52" spans="1:14" x14ac:dyDescent="0.25">
      <c r="A52" s="299"/>
      <c r="B52" s="1765"/>
      <c r="C52" s="2599"/>
      <c r="D52" s="2511"/>
      <c r="E52" s="2511"/>
      <c r="F52" s="2511"/>
      <c r="G52" s="2511"/>
      <c r="H52" s="2511"/>
      <c r="I52" s="2511"/>
      <c r="J52" s="2511"/>
      <c r="K52" s="2511"/>
      <c r="L52" s="2600"/>
      <c r="M52" s="1911"/>
      <c r="N52" s="299"/>
    </row>
    <row r="53" spans="1:14" x14ac:dyDescent="0.25">
      <c r="A53" s="299"/>
      <c r="B53" s="1765"/>
      <c r="C53" s="2599"/>
      <c r="D53" s="2511"/>
      <c r="E53" s="2511"/>
      <c r="F53" s="2511"/>
      <c r="G53" s="2511"/>
      <c r="H53" s="2511"/>
      <c r="I53" s="2511"/>
      <c r="J53" s="2511"/>
      <c r="K53" s="2511"/>
      <c r="L53" s="2600"/>
      <c r="M53" s="1911"/>
      <c r="N53" s="299"/>
    </row>
    <row r="54" spans="1:14" x14ac:dyDescent="0.25">
      <c r="A54" s="299"/>
      <c r="B54" s="1765"/>
      <c r="C54" s="2599"/>
      <c r="D54" s="2511"/>
      <c r="E54" s="2511"/>
      <c r="F54" s="2511"/>
      <c r="G54" s="2511"/>
      <c r="H54" s="2511"/>
      <c r="I54" s="2511"/>
      <c r="J54" s="2511"/>
      <c r="K54" s="2511"/>
      <c r="L54" s="2600"/>
      <c r="M54" s="1911"/>
      <c r="N54" s="299"/>
    </row>
    <row r="55" spans="1:14" x14ac:dyDescent="0.25">
      <c r="A55" s="299"/>
      <c r="B55" s="1765"/>
      <c r="C55" s="2599"/>
      <c r="D55" s="2511"/>
      <c r="E55" s="2511"/>
      <c r="F55" s="2511"/>
      <c r="G55" s="2511"/>
      <c r="H55" s="2511"/>
      <c r="I55" s="2511"/>
      <c r="J55" s="2511"/>
      <c r="K55" s="2511"/>
      <c r="L55" s="2600"/>
      <c r="M55" s="1911"/>
      <c r="N55" s="299"/>
    </row>
    <row r="56" spans="1:14" x14ac:dyDescent="0.25">
      <c r="A56" s="299"/>
      <c r="B56" s="1765"/>
      <c r="C56" s="2599"/>
      <c r="D56" s="2511"/>
      <c r="E56" s="2511"/>
      <c r="F56" s="2511"/>
      <c r="G56" s="2511"/>
      <c r="H56" s="2511"/>
      <c r="I56" s="2511"/>
      <c r="J56" s="2511"/>
      <c r="K56" s="2511"/>
      <c r="L56" s="2600"/>
      <c r="M56" s="1911"/>
      <c r="N56" s="299"/>
    </row>
    <row r="57" spans="1:14" x14ac:dyDescent="0.25">
      <c r="A57" s="299"/>
      <c r="B57" s="1765"/>
      <c r="C57" s="2599"/>
      <c r="D57" s="2511"/>
      <c r="E57" s="2511"/>
      <c r="F57" s="2511"/>
      <c r="G57" s="2511"/>
      <c r="H57" s="2511"/>
      <c r="I57" s="2511"/>
      <c r="J57" s="2511"/>
      <c r="K57" s="2511"/>
      <c r="L57" s="2600"/>
      <c r="M57" s="1911"/>
      <c r="N57" s="299"/>
    </row>
    <row r="58" spans="1:14" x14ac:dyDescent="0.25">
      <c r="A58" s="299"/>
      <c r="B58" s="1765"/>
      <c r="C58" s="2601"/>
      <c r="D58" s="2602"/>
      <c r="E58" s="2602"/>
      <c r="F58" s="2602"/>
      <c r="G58" s="2602"/>
      <c r="H58" s="2602"/>
      <c r="I58" s="2602"/>
      <c r="J58" s="2602"/>
      <c r="K58" s="2602"/>
      <c r="L58" s="2603"/>
      <c r="M58" s="1911"/>
      <c r="N58" s="299"/>
    </row>
    <row r="59" spans="1:14" x14ac:dyDescent="0.25">
      <c r="A59" s="299"/>
      <c r="B59" s="1768"/>
      <c r="C59" s="1279"/>
      <c r="D59" s="1279"/>
      <c r="E59" s="1279"/>
      <c r="F59" s="1279"/>
      <c r="G59" s="1279"/>
      <c r="H59" s="1279"/>
      <c r="I59" s="1279"/>
      <c r="J59" s="1279"/>
      <c r="K59" s="1279"/>
      <c r="L59" s="1279"/>
      <c r="M59" s="1912"/>
      <c r="N59" s="299"/>
    </row>
    <row r="60" spans="1:14" x14ac:dyDescent="0.25">
      <c r="A60" s="299"/>
      <c r="B60" s="78"/>
      <c r="C60" s="78"/>
      <c r="D60" s="78"/>
      <c r="E60" s="78"/>
      <c r="F60" s="78"/>
      <c r="G60" s="78"/>
      <c r="H60" s="78"/>
      <c r="I60" s="78"/>
      <c r="J60" s="78"/>
      <c r="K60" s="78"/>
      <c r="L60" s="78"/>
      <c r="M60" s="299"/>
      <c r="N60" s="299"/>
    </row>
    <row r="61" spans="1:14" x14ac:dyDescent="0.25">
      <c r="A61" s="299"/>
      <c r="B61" s="78"/>
      <c r="C61" s="78"/>
      <c r="D61" s="78"/>
      <c r="E61" s="78"/>
      <c r="F61" s="78"/>
      <c r="G61" s="78"/>
      <c r="H61" s="78"/>
      <c r="I61" s="78"/>
      <c r="J61" s="78"/>
      <c r="K61" s="78"/>
      <c r="L61" s="78"/>
      <c r="M61" s="299"/>
      <c r="N61" s="299"/>
    </row>
    <row r="62" spans="1:14" x14ac:dyDescent="0.25">
      <c r="A62" s="299"/>
      <c r="B62" s="78"/>
      <c r="C62" s="78"/>
      <c r="D62" s="78"/>
      <c r="E62" s="78"/>
      <c r="F62" s="78"/>
      <c r="G62" s="78"/>
      <c r="H62" s="78"/>
      <c r="I62" s="78"/>
      <c r="J62" s="78"/>
      <c r="K62" s="78"/>
      <c r="L62" s="78"/>
      <c r="M62" s="299"/>
      <c r="N62" s="299"/>
    </row>
    <row r="63" spans="1:14" x14ac:dyDescent="0.25">
      <c r="A63" s="299"/>
      <c r="B63" s="78"/>
      <c r="C63" s="78"/>
      <c r="D63" s="78"/>
      <c r="E63" s="78"/>
      <c r="F63" s="78"/>
      <c r="G63" s="78"/>
      <c r="H63" s="78"/>
      <c r="I63" s="78"/>
      <c r="J63" s="78"/>
      <c r="K63" s="78"/>
      <c r="L63" s="78"/>
      <c r="M63" s="299"/>
      <c r="N63" s="299"/>
    </row>
    <row r="64" spans="1:14" x14ac:dyDescent="0.25">
      <c r="A64" s="299"/>
      <c r="B64" s="78"/>
      <c r="C64" s="78"/>
      <c r="D64" s="78"/>
      <c r="E64" s="78"/>
      <c r="F64" s="78"/>
      <c r="G64" s="78"/>
      <c r="H64" s="78"/>
      <c r="I64" s="78"/>
      <c r="J64" s="78"/>
      <c r="K64" s="78"/>
      <c r="L64" s="78"/>
      <c r="M64" s="299"/>
      <c r="N64" s="299"/>
    </row>
    <row r="65" spans="2:12" s="1909" customFormat="1" x14ac:dyDescent="0.25">
      <c r="B65" s="1708"/>
      <c r="C65" s="1708"/>
      <c r="D65" s="1708"/>
      <c r="E65" s="1708"/>
      <c r="F65" s="1708"/>
      <c r="G65" s="1708"/>
      <c r="H65" s="1708"/>
      <c r="I65" s="1708"/>
      <c r="J65" s="1708"/>
      <c r="K65" s="1708"/>
      <c r="L65" s="1708"/>
    </row>
    <row r="66" spans="2:12" s="1909" customFormat="1" x14ac:dyDescent="0.25">
      <c r="B66" s="1708"/>
      <c r="C66" s="1708"/>
      <c r="D66" s="1708"/>
      <c r="E66" s="1708"/>
      <c r="F66" s="1708"/>
      <c r="G66" s="1708"/>
      <c r="H66" s="1708"/>
      <c r="I66" s="1708"/>
      <c r="J66" s="1708"/>
      <c r="K66" s="1708"/>
      <c r="L66" s="1708"/>
    </row>
    <row r="67" spans="2:12" s="1909" customFormat="1" x14ac:dyDescent="0.25">
      <c r="B67" s="1708"/>
      <c r="C67" s="1708"/>
      <c r="D67" s="1708"/>
      <c r="E67" s="1708"/>
      <c r="F67" s="1708"/>
      <c r="G67" s="1708"/>
      <c r="H67" s="1708"/>
      <c r="I67" s="1708"/>
      <c r="J67" s="1708"/>
      <c r="K67" s="1708"/>
      <c r="L67" s="1708"/>
    </row>
    <row r="68" spans="2:12" s="1909" customFormat="1" x14ac:dyDescent="0.25">
      <c r="B68" s="1708"/>
      <c r="C68" s="1708"/>
      <c r="D68" s="1708"/>
      <c r="E68" s="1708"/>
      <c r="F68" s="1708"/>
      <c r="G68" s="1708"/>
      <c r="H68" s="1708"/>
      <c r="I68" s="1708"/>
      <c r="J68" s="1708"/>
      <c r="K68" s="1708"/>
      <c r="L68" s="1708"/>
    </row>
    <row r="69" spans="2:12" s="1909" customFormat="1" x14ac:dyDescent="0.25">
      <c r="B69" s="1708"/>
      <c r="C69" s="1708"/>
      <c r="D69" s="1708"/>
      <c r="E69" s="1708"/>
      <c r="F69" s="1708"/>
      <c r="G69" s="1708"/>
      <c r="H69" s="1708"/>
      <c r="I69" s="1708"/>
      <c r="J69" s="1708"/>
      <c r="K69" s="1708"/>
      <c r="L69" s="1708"/>
    </row>
    <row r="70" spans="2:12" s="1909" customFormat="1" x14ac:dyDescent="0.25">
      <c r="B70" s="1708"/>
      <c r="C70" s="1708"/>
      <c r="D70" s="1708"/>
      <c r="E70" s="1708"/>
      <c r="F70" s="1708"/>
      <c r="G70" s="1708"/>
      <c r="H70" s="1708"/>
      <c r="I70" s="1708"/>
      <c r="J70" s="1708"/>
      <c r="K70" s="1708"/>
      <c r="L70" s="1708"/>
    </row>
    <row r="71" spans="2:12" s="1909" customFormat="1" x14ac:dyDescent="0.25">
      <c r="B71" s="1708"/>
      <c r="C71" s="1708"/>
      <c r="D71" s="1708"/>
      <c r="E71" s="1708"/>
      <c r="F71" s="1708"/>
      <c r="G71" s="1708"/>
      <c r="H71" s="1708"/>
      <c r="I71" s="1708"/>
      <c r="J71" s="1708"/>
      <c r="K71" s="1708"/>
      <c r="L71" s="1708"/>
    </row>
    <row r="72" spans="2:12" s="1909" customFormat="1" x14ac:dyDescent="0.25">
      <c r="B72" s="1708"/>
      <c r="C72" s="1708"/>
      <c r="D72" s="1708"/>
      <c r="E72" s="1708"/>
      <c r="F72" s="1708"/>
      <c r="G72" s="1708"/>
      <c r="H72" s="1708"/>
      <c r="I72" s="1708"/>
      <c r="J72" s="1708"/>
      <c r="K72" s="1708"/>
      <c r="L72" s="1708"/>
    </row>
    <row r="73" spans="2:12" s="1909" customFormat="1" x14ac:dyDescent="0.25">
      <c r="B73" s="1708"/>
      <c r="C73" s="1708"/>
      <c r="D73" s="1708"/>
      <c r="E73" s="1708"/>
      <c r="F73" s="1708"/>
      <c r="G73" s="1708"/>
      <c r="H73" s="1708"/>
      <c r="I73" s="1708"/>
      <c r="J73" s="1708"/>
      <c r="K73" s="1708"/>
      <c r="L73" s="1708"/>
    </row>
    <row r="74" spans="2:12" s="1909" customFormat="1" x14ac:dyDescent="0.25">
      <c r="B74" s="1708"/>
      <c r="C74" s="1708"/>
      <c r="D74" s="1708"/>
      <c r="E74" s="1708"/>
      <c r="F74" s="1708"/>
      <c r="G74" s="1708"/>
      <c r="H74" s="1708"/>
      <c r="I74" s="1708"/>
      <c r="J74" s="1708"/>
      <c r="K74" s="1708"/>
      <c r="L74" s="1708"/>
    </row>
    <row r="75" spans="2:12" s="1909" customFormat="1" x14ac:dyDescent="0.25">
      <c r="B75" s="1708"/>
      <c r="C75" s="1708"/>
      <c r="D75" s="1708"/>
      <c r="E75" s="1708"/>
      <c r="F75" s="1708"/>
      <c r="G75" s="1708"/>
      <c r="H75" s="1708"/>
      <c r="I75" s="1708"/>
      <c r="J75" s="1708"/>
      <c r="K75" s="1708"/>
      <c r="L75" s="1708"/>
    </row>
    <row r="76" spans="2:12" s="1909" customFormat="1" x14ac:dyDescent="0.25">
      <c r="B76" s="1708"/>
      <c r="C76" s="1708"/>
      <c r="D76" s="1708"/>
      <c r="E76" s="1708"/>
      <c r="F76" s="1708"/>
      <c r="G76" s="1708"/>
      <c r="H76" s="1708"/>
      <c r="I76" s="1708"/>
      <c r="J76" s="1708"/>
      <c r="K76" s="1708"/>
      <c r="L76" s="1708"/>
    </row>
    <row r="77" spans="2:12" s="1909" customFormat="1" x14ac:dyDescent="0.25">
      <c r="B77" s="1708"/>
      <c r="C77" s="1708"/>
      <c r="D77" s="1708"/>
      <c r="E77" s="1708"/>
      <c r="F77" s="1708"/>
      <c r="G77" s="1708"/>
      <c r="H77" s="1708"/>
      <c r="I77" s="1708"/>
      <c r="J77" s="1708"/>
      <c r="K77" s="1708"/>
      <c r="L77" s="1708"/>
    </row>
    <row r="78" spans="2:12" s="1909" customFormat="1" x14ac:dyDescent="0.25">
      <c r="B78" s="1708"/>
      <c r="C78" s="1708"/>
      <c r="D78" s="1708"/>
      <c r="E78" s="1708"/>
      <c r="F78" s="1708"/>
      <c r="G78" s="1708"/>
      <c r="H78" s="1708"/>
      <c r="I78" s="1708"/>
      <c r="J78" s="1708"/>
      <c r="K78" s="1708"/>
      <c r="L78" s="1708"/>
    </row>
    <row r="79" spans="2:12" s="1909" customFormat="1" x14ac:dyDescent="0.25">
      <c r="B79" s="1708"/>
      <c r="C79" s="1708"/>
      <c r="D79" s="1708"/>
      <c r="E79" s="1708"/>
      <c r="F79" s="1708"/>
      <c r="G79" s="1708"/>
      <c r="H79" s="1708"/>
      <c r="I79" s="1708"/>
      <c r="J79" s="1708"/>
      <c r="K79" s="1708"/>
      <c r="L79" s="1708"/>
    </row>
    <row r="80" spans="2:12" s="1909" customFormat="1" x14ac:dyDescent="0.25">
      <c r="B80" s="1708"/>
      <c r="C80" s="1708"/>
      <c r="D80" s="1708"/>
      <c r="E80" s="1708"/>
      <c r="F80" s="1708"/>
      <c r="G80" s="1708"/>
      <c r="H80" s="1708"/>
      <c r="I80" s="1708"/>
      <c r="J80" s="1708"/>
      <c r="K80" s="1708"/>
      <c r="L80" s="1708"/>
    </row>
    <row r="81" spans="2:12" s="1909" customFormat="1" x14ac:dyDescent="0.25">
      <c r="B81" s="1708"/>
      <c r="C81" s="1708"/>
      <c r="D81" s="1708"/>
      <c r="E81" s="1708"/>
      <c r="F81" s="1708"/>
      <c r="G81" s="1708"/>
      <c r="H81" s="1708"/>
      <c r="I81" s="1708"/>
      <c r="J81" s="1708"/>
      <c r="K81" s="1708"/>
      <c r="L81" s="1708"/>
    </row>
    <row r="82" spans="2:12" s="1909" customFormat="1" x14ac:dyDescent="0.25">
      <c r="B82" s="1708"/>
      <c r="C82" s="1708"/>
      <c r="D82" s="1708"/>
      <c r="E82" s="1708"/>
      <c r="F82" s="1708"/>
      <c r="G82" s="1708"/>
      <c r="H82" s="1708"/>
      <c r="I82" s="1708"/>
      <c r="J82" s="1708"/>
      <c r="K82" s="1708"/>
      <c r="L82" s="1708"/>
    </row>
    <row r="83" spans="2:12" s="1909" customFormat="1" x14ac:dyDescent="0.25">
      <c r="B83" s="1708"/>
      <c r="C83" s="1708"/>
      <c r="D83" s="1708"/>
      <c r="E83" s="1708"/>
      <c r="F83" s="1708"/>
      <c r="G83" s="1708"/>
      <c r="H83" s="1708"/>
      <c r="I83" s="1708"/>
      <c r="J83" s="1708"/>
      <c r="K83" s="1708"/>
      <c r="L83" s="1708"/>
    </row>
    <row r="84" spans="2:12" s="1909" customFormat="1" x14ac:dyDescent="0.25">
      <c r="B84" s="1708"/>
      <c r="C84" s="1708"/>
      <c r="D84" s="1708"/>
      <c r="E84" s="1708"/>
      <c r="F84" s="1708"/>
      <c r="G84" s="1708"/>
      <c r="H84" s="1708"/>
      <c r="I84" s="1708"/>
      <c r="J84" s="1708"/>
      <c r="K84" s="1708"/>
      <c r="L84" s="1708"/>
    </row>
    <row r="85" spans="2:12" s="1909" customFormat="1" x14ac:dyDescent="0.25">
      <c r="B85" s="1708"/>
      <c r="C85" s="1708"/>
      <c r="D85" s="1708"/>
      <c r="E85" s="1708"/>
      <c r="F85" s="1708"/>
      <c r="G85" s="1708"/>
      <c r="H85" s="1708"/>
      <c r="I85" s="1708"/>
      <c r="J85" s="1708"/>
      <c r="K85" s="1708"/>
      <c r="L85" s="1708"/>
    </row>
    <row r="86" spans="2:12" s="1909" customFormat="1" x14ac:dyDescent="0.25">
      <c r="B86" s="1708"/>
      <c r="C86" s="1708"/>
      <c r="D86" s="1708"/>
      <c r="E86" s="1708"/>
      <c r="F86" s="1708"/>
      <c r="G86" s="1708"/>
      <c r="H86" s="1708"/>
      <c r="I86" s="1708"/>
      <c r="J86" s="1708"/>
      <c r="K86" s="1708"/>
      <c r="L86" s="1708"/>
    </row>
    <row r="87" spans="2:12" s="1909" customFormat="1" x14ac:dyDescent="0.25">
      <c r="B87" s="1708"/>
      <c r="C87" s="1708"/>
      <c r="D87" s="1708"/>
      <c r="E87" s="1708"/>
      <c r="F87" s="1708"/>
      <c r="G87" s="1708"/>
      <c r="H87" s="1708"/>
      <c r="I87" s="1708"/>
      <c r="J87" s="1708"/>
      <c r="K87" s="1708"/>
      <c r="L87" s="1708"/>
    </row>
    <row r="88" spans="2:12" s="1909" customFormat="1" x14ac:dyDescent="0.25">
      <c r="B88" s="1708"/>
      <c r="C88" s="1708"/>
      <c r="D88" s="1708"/>
      <c r="E88" s="1708"/>
      <c r="F88" s="1708"/>
      <c r="G88" s="1708"/>
      <c r="H88" s="1708"/>
      <c r="I88" s="1708"/>
      <c r="J88" s="1708"/>
      <c r="K88" s="1708"/>
      <c r="L88" s="1708"/>
    </row>
    <row r="89" spans="2:12" s="1909" customFormat="1" x14ac:dyDescent="0.25">
      <c r="B89" s="1708"/>
      <c r="C89" s="1708"/>
      <c r="D89" s="1708"/>
      <c r="E89" s="1708"/>
      <c r="F89" s="1708"/>
      <c r="G89" s="1708"/>
      <c r="H89" s="1708"/>
      <c r="I89" s="1708"/>
      <c r="J89" s="1708"/>
      <c r="K89" s="1708"/>
      <c r="L89" s="1708"/>
    </row>
    <row r="90" spans="2:12" s="1909" customFormat="1" x14ac:dyDescent="0.25">
      <c r="B90" s="1708"/>
      <c r="C90" s="1708"/>
      <c r="D90" s="1708"/>
      <c r="E90" s="1708"/>
      <c r="F90" s="1708"/>
      <c r="G90" s="1708"/>
      <c r="H90" s="1708"/>
      <c r="I90" s="1708"/>
      <c r="J90" s="1708"/>
      <c r="K90" s="1708"/>
      <c r="L90" s="1708"/>
    </row>
    <row r="91" spans="2:12" s="1909" customFormat="1" x14ac:dyDescent="0.25">
      <c r="B91" s="1708"/>
      <c r="C91" s="1708"/>
      <c r="D91" s="1708"/>
      <c r="E91" s="1708"/>
      <c r="F91" s="1708"/>
      <c r="G91" s="1708"/>
      <c r="H91" s="1708"/>
      <c r="I91" s="1708"/>
      <c r="J91" s="1708"/>
      <c r="K91" s="1708"/>
      <c r="L91" s="1708"/>
    </row>
    <row r="92" spans="2:12" s="1909" customFormat="1" x14ac:dyDescent="0.25">
      <c r="B92" s="1708"/>
      <c r="C92" s="1708"/>
      <c r="D92" s="1708"/>
      <c r="E92" s="1708"/>
      <c r="F92" s="1708"/>
      <c r="G92" s="1708"/>
      <c r="H92" s="1708"/>
      <c r="I92" s="1708"/>
      <c r="J92" s="1708"/>
      <c r="K92" s="1708"/>
      <c r="L92" s="1708"/>
    </row>
    <row r="93" spans="2:12" s="1909" customFormat="1" x14ac:dyDescent="0.25">
      <c r="B93" s="1708"/>
      <c r="C93" s="1708"/>
      <c r="D93" s="1708"/>
      <c r="E93" s="1708"/>
      <c r="F93" s="1708"/>
      <c r="G93" s="1708"/>
      <c r="H93" s="1708"/>
      <c r="I93" s="1708"/>
      <c r="J93" s="1708"/>
      <c r="K93" s="1708"/>
      <c r="L93" s="1708"/>
    </row>
    <row r="94" spans="2:12" s="1909" customFormat="1" x14ac:dyDescent="0.25">
      <c r="B94" s="1708"/>
      <c r="C94" s="1708"/>
      <c r="D94" s="1708"/>
      <c r="E94" s="1708"/>
      <c r="F94" s="1708"/>
      <c r="G94" s="1708"/>
      <c r="H94" s="1708"/>
      <c r="I94" s="1708"/>
      <c r="J94" s="1708"/>
      <c r="K94" s="1708"/>
      <c r="L94" s="1708"/>
    </row>
    <row r="95" spans="2:12" s="1909" customFormat="1" x14ac:dyDescent="0.25">
      <c r="B95" s="1708"/>
      <c r="C95" s="1708"/>
      <c r="D95" s="1708"/>
      <c r="E95" s="1708"/>
      <c r="F95" s="1708"/>
      <c r="G95" s="1708"/>
      <c r="H95" s="1708"/>
      <c r="I95" s="1708"/>
      <c r="J95" s="1708"/>
      <c r="K95" s="1708"/>
      <c r="L95" s="1708"/>
    </row>
    <row r="96" spans="2:12" s="1909" customFormat="1" x14ac:dyDescent="0.25">
      <c r="B96" s="1708"/>
      <c r="C96" s="1708"/>
      <c r="D96" s="1708"/>
      <c r="E96" s="1708"/>
      <c r="F96" s="1708"/>
      <c r="G96" s="1708"/>
      <c r="H96" s="1708"/>
      <c r="I96" s="1708"/>
      <c r="J96" s="1708"/>
      <c r="K96" s="1708"/>
      <c r="L96" s="1708"/>
    </row>
    <row r="97" spans="2:12" s="1909" customFormat="1" x14ac:dyDescent="0.25">
      <c r="B97" s="1708"/>
      <c r="C97" s="1708"/>
      <c r="D97" s="1708"/>
      <c r="E97" s="1708"/>
      <c r="F97" s="1708"/>
      <c r="G97" s="1708"/>
      <c r="H97" s="1708"/>
      <c r="I97" s="1708"/>
      <c r="J97" s="1708"/>
      <c r="K97" s="1708"/>
      <c r="L97" s="1708"/>
    </row>
    <row r="98" spans="2:12" s="1909" customFormat="1" x14ac:dyDescent="0.25">
      <c r="B98" s="1708"/>
      <c r="C98" s="1708"/>
      <c r="D98" s="1708"/>
      <c r="E98" s="1708"/>
      <c r="F98" s="1708"/>
      <c r="G98" s="1708"/>
      <c r="H98" s="1708"/>
      <c r="I98" s="1708"/>
      <c r="J98" s="1708"/>
      <c r="K98" s="1708"/>
      <c r="L98" s="1708"/>
    </row>
    <row r="99" spans="2:12" s="1909" customFormat="1" x14ac:dyDescent="0.25">
      <c r="B99" s="1708"/>
      <c r="C99" s="1708"/>
      <c r="D99" s="1708"/>
      <c r="E99" s="1708"/>
      <c r="F99" s="1708"/>
      <c r="G99" s="1708"/>
      <c r="H99" s="1708"/>
      <c r="I99" s="1708"/>
      <c r="J99" s="1708"/>
      <c r="K99" s="1708"/>
      <c r="L99" s="1708"/>
    </row>
    <row r="100" spans="2:12" s="1909" customFormat="1" x14ac:dyDescent="0.25">
      <c r="B100" s="1708"/>
      <c r="C100" s="1708"/>
      <c r="D100" s="1708"/>
      <c r="E100" s="1708"/>
      <c r="F100" s="1708"/>
      <c r="G100" s="1708"/>
      <c r="H100" s="1708"/>
      <c r="I100" s="1708"/>
      <c r="J100" s="1708"/>
      <c r="K100" s="1708"/>
      <c r="L100" s="1708"/>
    </row>
    <row r="101" spans="2:12" s="1909" customFormat="1" x14ac:dyDescent="0.25">
      <c r="B101" s="1708"/>
      <c r="C101" s="1708"/>
      <c r="D101" s="1708"/>
      <c r="E101" s="1708"/>
      <c r="F101" s="1708"/>
      <c r="G101" s="1708"/>
      <c r="H101" s="1708"/>
      <c r="I101" s="1708"/>
      <c r="J101" s="1708"/>
      <c r="K101" s="1708"/>
      <c r="L101" s="1708"/>
    </row>
    <row r="102" spans="2:12" s="1909" customFormat="1" x14ac:dyDescent="0.25">
      <c r="B102" s="1708"/>
      <c r="C102" s="1708"/>
      <c r="D102" s="1708"/>
      <c r="E102" s="1708"/>
      <c r="F102" s="1708"/>
      <c r="G102" s="1708"/>
      <c r="H102" s="1708"/>
      <c r="I102" s="1708"/>
      <c r="J102" s="1708"/>
      <c r="K102" s="1708"/>
      <c r="L102" s="1708"/>
    </row>
    <row r="103" spans="2:12" s="1909" customFormat="1" x14ac:dyDescent="0.25">
      <c r="B103" s="1708"/>
      <c r="C103" s="1708"/>
      <c r="D103" s="1708"/>
      <c r="E103" s="1708"/>
      <c r="F103" s="1708"/>
      <c r="G103" s="1708"/>
      <c r="H103" s="1708"/>
      <c r="I103" s="1708"/>
      <c r="J103" s="1708"/>
      <c r="K103" s="1708"/>
      <c r="L103" s="1708"/>
    </row>
    <row r="104" spans="2:12" s="1909" customFormat="1" x14ac:dyDescent="0.25">
      <c r="B104" s="1708"/>
      <c r="C104" s="1708"/>
      <c r="D104" s="1708"/>
      <c r="E104" s="1708"/>
      <c r="F104" s="1708"/>
      <c r="G104" s="1708"/>
      <c r="H104" s="1708"/>
      <c r="I104" s="1708"/>
      <c r="J104" s="1708"/>
      <c r="K104" s="1708"/>
      <c r="L104" s="1708"/>
    </row>
    <row r="105" spans="2:12" s="1909" customFormat="1" x14ac:dyDescent="0.25">
      <c r="B105" s="1708"/>
      <c r="C105" s="1708"/>
      <c r="D105" s="1708"/>
      <c r="E105" s="1708"/>
      <c r="F105" s="1708"/>
      <c r="G105" s="1708"/>
      <c r="H105" s="1708"/>
      <c r="I105" s="1708"/>
      <c r="J105" s="1708"/>
      <c r="K105" s="1708"/>
      <c r="L105" s="1708"/>
    </row>
    <row r="106" spans="2:12" s="1909" customFormat="1" x14ac:dyDescent="0.25">
      <c r="B106" s="1708"/>
      <c r="C106" s="1708"/>
      <c r="D106" s="1708"/>
      <c r="E106" s="1708"/>
      <c r="F106" s="1708"/>
      <c r="G106" s="1708"/>
      <c r="H106" s="1708"/>
      <c r="I106" s="1708"/>
      <c r="J106" s="1708"/>
      <c r="K106" s="1708"/>
      <c r="L106" s="1708"/>
    </row>
    <row r="107" spans="2:12" s="1909" customFormat="1" x14ac:dyDescent="0.25">
      <c r="B107" s="1708"/>
      <c r="C107" s="1708"/>
      <c r="D107" s="1708"/>
      <c r="E107" s="1708"/>
      <c r="F107" s="1708"/>
      <c r="G107" s="1708"/>
      <c r="H107" s="1708"/>
      <c r="I107" s="1708"/>
      <c r="J107" s="1708"/>
      <c r="K107" s="1708"/>
      <c r="L107" s="1708"/>
    </row>
    <row r="108" spans="2:12" s="1909" customFormat="1" x14ac:dyDescent="0.25">
      <c r="B108" s="1708"/>
      <c r="C108" s="1708"/>
      <c r="D108" s="1708"/>
      <c r="E108" s="1708"/>
      <c r="F108" s="1708"/>
      <c r="G108" s="1708"/>
      <c r="H108" s="1708"/>
      <c r="I108" s="1708"/>
      <c r="J108" s="1708"/>
      <c r="K108" s="1708"/>
      <c r="L108" s="1708"/>
    </row>
    <row r="109" spans="2:12" s="1909" customFormat="1" x14ac:dyDescent="0.25">
      <c r="B109" s="1708"/>
      <c r="C109" s="1708"/>
      <c r="D109" s="1708"/>
      <c r="E109" s="1708"/>
      <c r="F109" s="1708"/>
      <c r="G109" s="1708"/>
      <c r="H109" s="1708"/>
      <c r="I109" s="1708"/>
      <c r="J109" s="1708"/>
      <c r="K109" s="1708"/>
      <c r="L109" s="1708"/>
    </row>
    <row r="110" spans="2:12" s="1909" customFormat="1" x14ac:dyDescent="0.25">
      <c r="B110" s="1708"/>
      <c r="C110" s="1708"/>
      <c r="D110" s="1708"/>
      <c r="E110" s="1708"/>
      <c r="F110" s="1708"/>
      <c r="G110" s="1708"/>
      <c r="H110" s="1708"/>
      <c r="I110" s="1708"/>
      <c r="J110" s="1708"/>
      <c r="K110" s="1708"/>
      <c r="L110" s="1708"/>
    </row>
    <row r="111" spans="2:12" s="1909" customFormat="1" x14ac:dyDescent="0.25">
      <c r="B111" s="1708"/>
      <c r="C111" s="1708"/>
      <c r="D111" s="1708"/>
      <c r="E111" s="1708"/>
      <c r="F111" s="1708"/>
      <c r="G111" s="1708"/>
      <c r="H111" s="1708"/>
      <c r="I111" s="1708"/>
      <c r="J111" s="1708"/>
      <c r="K111" s="1708"/>
      <c r="L111" s="1708"/>
    </row>
    <row r="112" spans="2:12" s="1909" customFormat="1" x14ac:dyDescent="0.25">
      <c r="B112" s="1708"/>
      <c r="C112" s="1708"/>
      <c r="D112" s="1708"/>
      <c r="E112" s="1708"/>
      <c r="F112" s="1708"/>
      <c r="G112" s="1708"/>
      <c r="H112" s="1708"/>
      <c r="I112" s="1708"/>
      <c r="J112" s="1708"/>
      <c r="K112" s="1708"/>
      <c r="L112" s="1708"/>
    </row>
    <row r="113" spans="2:12" s="1909" customFormat="1" x14ac:dyDescent="0.25">
      <c r="B113" s="1708"/>
      <c r="C113" s="1708"/>
      <c r="D113" s="1708"/>
      <c r="E113" s="1708"/>
      <c r="F113" s="1708"/>
      <c r="G113" s="1708"/>
      <c r="H113" s="1708"/>
      <c r="I113" s="1708"/>
      <c r="J113" s="1708"/>
      <c r="K113" s="1708"/>
      <c r="L113" s="1708"/>
    </row>
    <row r="114" spans="2:12" s="1909" customFormat="1" x14ac:dyDescent="0.25">
      <c r="B114" s="1708"/>
      <c r="C114" s="1708"/>
      <c r="D114" s="1708"/>
      <c r="E114" s="1708"/>
      <c r="F114" s="1708"/>
      <c r="G114" s="1708"/>
      <c r="H114" s="1708"/>
      <c r="I114" s="1708"/>
      <c r="J114" s="1708"/>
      <c r="K114" s="1708"/>
      <c r="L114" s="1708"/>
    </row>
    <row r="115" spans="2:12" s="1909" customFormat="1" x14ac:dyDescent="0.25">
      <c r="B115" s="1708"/>
      <c r="C115" s="1708"/>
      <c r="D115" s="1708"/>
      <c r="E115" s="1708"/>
      <c r="F115" s="1708"/>
      <c r="G115" s="1708"/>
      <c r="H115" s="1708"/>
      <c r="I115" s="1708"/>
      <c r="J115" s="1708"/>
      <c r="K115" s="1708"/>
      <c r="L115" s="1708"/>
    </row>
    <row r="116" spans="2:12" s="1909" customFormat="1" x14ac:dyDescent="0.25">
      <c r="B116" s="1708"/>
      <c r="C116" s="1708"/>
      <c r="D116" s="1708"/>
      <c r="E116" s="1708"/>
      <c r="F116" s="1708"/>
      <c r="G116" s="1708"/>
      <c r="H116" s="1708"/>
      <c r="I116" s="1708"/>
      <c r="J116" s="1708"/>
      <c r="K116" s="1708"/>
      <c r="L116" s="1708"/>
    </row>
    <row r="117" spans="2:12" s="1909" customFormat="1" x14ac:dyDescent="0.25">
      <c r="B117" s="1708"/>
      <c r="C117" s="1708"/>
      <c r="D117" s="1708"/>
      <c r="E117" s="1708"/>
      <c r="F117" s="1708"/>
      <c r="G117" s="1708"/>
      <c r="H117" s="1708"/>
      <c r="I117" s="1708"/>
      <c r="J117" s="1708"/>
      <c r="K117" s="1708"/>
      <c r="L117" s="1708"/>
    </row>
    <row r="118" spans="2:12" s="1909" customFormat="1" x14ac:dyDescent="0.25">
      <c r="B118" s="1708"/>
      <c r="C118" s="1708"/>
      <c r="D118" s="1708"/>
      <c r="E118" s="1708"/>
      <c r="F118" s="1708"/>
      <c r="G118" s="1708"/>
      <c r="H118" s="1708"/>
      <c r="I118" s="1708"/>
      <c r="J118" s="1708"/>
      <c r="K118" s="1708"/>
      <c r="L118" s="1708"/>
    </row>
    <row r="119" spans="2:12" s="1909" customFormat="1" x14ac:dyDescent="0.25">
      <c r="B119" s="1708"/>
      <c r="C119" s="1708"/>
      <c r="D119" s="1708"/>
      <c r="E119" s="1708"/>
      <c r="F119" s="1708"/>
      <c r="G119" s="1708"/>
      <c r="H119" s="1708"/>
      <c r="I119" s="1708"/>
      <c r="J119" s="1708"/>
      <c r="K119" s="1708"/>
      <c r="L119" s="1708"/>
    </row>
    <row r="120" spans="2:12" s="1909" customFormat="1" x14ac:dyDescent="0.25">
      <c r="B120" s="1708"/>
      <c r="C120" s="1708"/>
      <c r="D120" s="1708"/>
      <c r="E120" s="1708"/>
      <c r="F120" s="1708"/>
      <c r="G120" s="1708"/>
      <c r="H120" s="1708"/>
      <c r="I120" s="1708"/>
      <c r="J120" s="1708"/>
      <c r="K120" s="1708"/>
      <c r="L120" s="1708"/>
    </row>
    <row r="121" spans="2:12" s="1909" customFormat="1" x14ac:dyDescent="0.25">
      <c r="B121" s="1708"/>
      <c r="C121" s="1708"/>
      <c r="D121" s="1708"/>
      <c r="E121" s="1708"/>
      <c r="F121" s="1708"/>
      <c r="G121" s="1708"/>
      <c r="H121" s="1708"/>
      <c r="I121" s="1708"/>
      <c r="J121" s="1708"/>
      <c r="K121" s="1708"/>
      <c r="L121" s="1708"/>
    </row>
    <row r="122" spans="2:12" s="1909" customFormat="1" x14ac:dyDescent="0.25">
      <c r="B122" s="1708"/>
      <c r="C122" s="1708"/>
      <c r="D122" s="1708"/>
      <c r="E122" s="1708"/>
      <c r="F122" s="1708"/>
      <c r="G122" s="1708"/>
      <c r="H122" s="1708"/>
      <c r="I122" s="1708"/>
      <c r="J122" s="1708"/>
      <c r="K122" s="1708"/>
      <c r="L122" s="1708"/>
    </row>
    <row r="123" spans="2:12" s="1909" customFormat="1" x14ac:dyDescent="0.25">
      <c r="B123" s="1708"/>
      <c r="C123" s="1708"/>
      <c r="D123" s="1708"/>
      <c r="E123" s="1708"/>
      <c r="F123" s="1708"/>
      <c r="G123" s="1708"/>
      <c r="H123" s="1708"/>
      <c r="I123" s="1708"/>
      <c r="J123" s="1708"/>
      <c r="K123" s="1708"/>
      <c r="L123" s="1708"/>
    </row>
    <row r="124" spans="2:12" s="1909" customFormat="1" x14ac:dyDescent="0.25">
      <c r="B124" s="1708"/>
      <c r="C124" s="1708"/>
      <c r="D124" s="1708"/>
      <c r="E124" s="1708"/>
      <c r="F124" s="1708"/>
      <c r="G124" s="1708"/>
      <c r="H124" s="1708"/>
      <c r="I124" s="1708"/>
      <c r="J124" s="1708"/>
      <c r="K124" s="1708"/>
      <c r="L124" s="1708"/>
    </row>
    <row r="125" spans="2:12" s="1909" customFormat="1" x14ac:dyDescent="0.25">
      <c r="B125" s="1708"/>
      <c r="C125" s="1708"/>
      <c r="D125" s="1708"/>
      <c r="E125" s="1708"/>
      <c r="F125" s="1708"/>
      <c r="G125" s="1708"/>
      <c r="H125" s="1708"/>
      <c r="I125" s="1708"/>
      <c r="J125" s="1708"/>
      <c r="K125" s="1708"/>
      <c r="L125" s="1708"/>
    </row>
    <row r="126" spans="2:12" s="1909" customFormat="1" x14ac:dyDescent="0.25">
      <c r="B126" s="1708"/>
      <c r="C126" s="1708"/>
      <c r="D126" s="1708"/>
      <c r="E126" s="1708"/>
      <c r="F126" s="1708"/>
      <c r="G126" s="1708"/>
      <c r="H126" s="1708"/>
      <c r="I126" s="1708"/>
      <c r="J126" s="1708"/>
      <c r="K126" s="1708"/>
      <c r="L126" s="1708"/>
    </row>
    <row r="127" spans="2:12" s="1909" customFormat="1" x14ac:dyDescent="0.25">
      <c r="B127" s="1708"/>
      <c r="C127" s="1708"/>
      <c r="D127" s="1708"/>
      <c r="E127" s="1708"/>
      <c r="F127" s="1708"/>
      <c r="G127" s="1708"/>
      <c r="H127" s="1708"/>
      <c r="I127" s="1708"/>
      <c r="J127" s="1708"/>
      <c r="K127" s="1708"/>
      <c r="L127" s="1708"/>
    </row>
    <row r="128" spans="2:12" s="1909" customFormat="1" x14ac:dyDescent="0.25">
      <c r="B128" s="1708"/>
      <c r="C128" s="1708"/>
      <c r="D128" s="1708"/>
      <c r="E128" s="1708"/>
      <c r="F128" s="1708"/>
      <c r="G128" s="1708"/>
      <c r="H128" s="1708"/>
      <c r="I128" s="1708"/>
      <c r="J128" s="1708"/>
      <c r="K128" s="1708"/>
      <c r="L128" s="1708"/>
    </row>
    <row r="129" spans="2:12" s="1909" customFormat="1" x14ac:dyDescent="0.25">
      <c r="B129" s="1708"/>
      <c r="C129" s="1708"/>
      <c r="D129" s="1708"/>
      <c r="E129" s="1708"/>
      <c r="F129" s="1708"/>
      <c r="G129" s="1708"/>
      <c r="H129" s="1708"/>
      <c r="I129" s="1708"/>
      <c r="J129" s="1708"/>
      <c r="K129" s="1708"/>
      <c r="L129" s="1708"/>
    </row>
    <row r="130" spans="2:12" s="1909" customFormat="1" x14ac:dyDescent="0.25">
      <c r="B130" s="1708"/>
      <c r="C130" s="1708"/>
      <c r="D130" s="1708"/>
      <c r="E130" s="1708"/>
      <c r="F130" s="1708"/>
      <c r="G130" s="1708"/>
      <c r="H130" s="1708"/>
      <c r="I130" s="1708"/>
      <c r="J130" s="1708"/>
      <c r="K130" s="1708"/>
      <c r="L130" s="1708"/>
    </row>
    <row r="131" spans="2:12" s="1909" customFormat="1" x14ac:dyDescent="0.25">
      <c r="B131" s="1708"/>
      <c r="C131" s="1708"/>
      <c r="D131" s="1708"/>
      <c r="E131" s="1708"/>
      <c r="F131" s="1708"/>
      <c r="G131" s="1708"/>
      <c r="H131" s="1708"/>
      <c r="I131" s="1708"/>
      <c r="J131" s="1708"/>
      <c r="K131" s="1708"/>
      <c r="L131" s="1708"/>
    </row>
    <row r="132" spans="2:12" s="1909" customFormat="1" x14ac:dyDescent="0.25">
      <c r="B132" s="1708"/>
      <c r="C132" s="1708"/>
      <c r="D132" s="1708"/>
      <c r="E132" s="1708"/>
      <c r="F132" s="1708"/>
      <c r="G132" s="1708"/>
      <c r="H132" s="1708"/>
      <c r="I132" s="1708"/>
      <c r="J132" s="1708"/>
      <c r="K132" s="1708"/>
      <c r="L132" s="1708"/>
    </row>
    <row r="133" spans="2:12" s="1909" customFormat="1" x14ac:dyDescent="0.25">
      <c r="B133" s="1708"/>
      <c r="C133" s="1708"/>
      <c r="D133" s="1708"/>
      <c r="E133" s="1708"/>
      <c r="F133" s="1708"/>
      <c r="G133" s="1708"/>
      <c r="H133" s="1708"/>
      <c r="I133" s="1708"/>
      <c r="J133" s="1708"/>
      <c r="K133" s="1708"/>
      <c r="L133" s="1708"/>
    </row>
    <row r="134" spans="2:12" s="1909" customFormat="1" x14ac:dyDescent="0.25">
      <c r="B134" s="1708"/>
      <c r="C134" s="1708"/>
      <c r="D134" s="1708"/>
      <c r="E134" s="1708"/>
      <c r="F134" s="1708"/>
      <c r="G134" s="1708"/>
      <c r="H134" s="1708"/>
      <c r="I134" s="1708"/>
      <c r="J134" s="1708"/>
      <c r="K134" s="1708"/>
      <c r="L134" s="1708"/>
    </row>
    <row r="135" spans="2:12" s="1909" customFormat="1" x14ac:dyDescent="0.25">
      <c r="B135" s="1708"/>
      <c r="C135" s="1708"/>
      <c r="D135" s="1708"/>
      <c r="E135" s="1708"/>
      <c r="F135" s="1708"/>
      <c r="G135" s="1708"/>
      <c r="H135" s="1708"/>
      <c r="I135" s="1708"/>
      <c r="J135" s="1708"/>
      <c r="K135" s="1708"/>
      <c r="L135" s="1708"/>
    </row>
    <row r="136" spans="2:12" s="1909" customFormat="1" x14ac:dyDescent="0.25">
      <c r="B136" s="1708"/>
      <c r="C136" s="1708"/>
      <c r="D136" s="1708"/>
      <c r="E136" s="1708"/>
      <c r="F136" s="1708"/>
      <c r="G136" s="1708"/>
      <c r="H136" s="1708"/>
      <c r="I136" s="1708"/>
      <c r="J136" s="1708"/>
      <c r="K136" s="1708"/>
      <c r="L136" s="1708"/>
    </row>
    <row r="137" spans="2:12" s="1909" customFormat="1" x14ac:dyDescent="0.25">
      <c r="B137" s="1708"/>
      <c r="C137" s="1708"/>
      <c r="D137" s="1708"/>
      <c r="E137" s="1708"/>
      <c r="F137" s="1708"/>
      <c r="G137" s="1708"/>
      <c r="H137" s="1708"/>
      <c r="I137" s="1708"/>
      <c r="J137" s="1708"/>
      <c r="K137" s="1708"/>
      <c r="L137" s="1708"/>
    </row>
    <row r="138" spans="2:12" s="1909" customFormat="1" x14ac:dyDescent="0.25">
      <c r="B138" s="1708"/>
      <c r="C138" s="1708"/>
      <c r="D138" s="1708"/>
      <c r="E138" s="1708"/>
      <c r="F138" s="1708"/>
      <c r="G138" s="1708"/>
      <c r="H138" s="1708"/>
      <c r="I138" s="1708"/>
      <c r="J138" s="1708"/>
      <c r="K138" s="1708"/>
      <c r="L138" s="1708"/>
    </row>
    <row r="139" spans="2:12" s="1909" customFormat="1" x14ac:dyDescent="0.25">
      <c r="B139" s="1708"/>
      <c r="C139" s="1708"/>
      <c r="D139" s="1708"/>
      <c r="E139" s="1708"/>
      <c r="F139" s="1708"/>
      <c r="G139" s="1708"/>
      <c r="H139" s="1708"/>
      <c r="I139" s="1708"/>
      <c r="J139" s="1708"/>
      <c r="K139" s="1708"/>
      <c r="L139" s="1708"/>
    </row>
    <row r="140" spans="2:12" s="1909" customFormat="1" x14ac:dyDescent="0.25">
      <c r="B140" s="1708"/>
      <c r="C140" s="1708"/>
      <c r="D140" s="1708"/>
      <c r="E140" s="1708"/>
      <c r="F140" s="1708"/>
      <c r="G140" s="1708"/>
      <c r="H140" s="1708"/>
      <c r="I140" s="1708"/>
      <c r="J140" s="1708"/>
      <c r="K140" s="1708"/>
      <c r="L140" s="1708"/>
    </row>
    <row r="141" spans="2:12" s="1909" customFormat="1" x14ac:dyDescent="0.25">
      <c r="B141" s="1708"/>
      <c r="C141" s="1708"/>
      <c r="D141" s="1708"/>
      <c r="E141" s="1708"/>
      <c r="F141" s="1708"/>
      <c r="G141" s="1708"/>
      <c r="H141" s="1708"/>
      <c r="I141" s="1708"/>
      <c r="J141" s="1708"/>
      <c r="K141" s="1708"/>
      <c r="L141" s="1708"/>
    </row>
    <row r="142" spans="2:12" s="1909" customFormat="1" x14ac:dyDescent="0.25">
      <c r="B142" s="1708"/>
      <c r="C142" s="1708"/>
      <c r="D142" s="1708"/>
      <c r="E142" s="1708"/>
      <c r="F142" s="1708"/>
      <c r="G142" s="1708"/>
      <c r="H142" s="1708"/>
      <c r="I142" s="1708"/>
      <c r="J142" s="1708"/>
      <c r="K142" s="1708"/>
      <c r="L142" s="1708"/>
    </row>
    <row r="143" spans="2:12" s="1909" customFormat="1" x14ac:dyDescent="0.25">
      <c r="B143" s="1708"/>
      <c r="C143" s="1708"/>
      <c r="D143" s="1708"/>
      <c r="E143" s="1708"/>
      <c r="F143" s="1708"/>
      <c r="G143" s="1708"/>
      <c r="H143" s="1708"/>
      <c r="I143" s="1708"/>
      <c r="J143" s="1708"/>
      <c r="K143" s="1708"/>
      <c r="L143" s="1708"/>
    </row>
    <row r="144" spans="2:12" s="1909" customFormat="1" x14ac:dyDescent="0.25">
      <c r="B144" s="1708"/>
      <c r="C144" s="1708"/>
      <c r="D144" s="1708"/>
      <c r="E144" s="1708"/>
      <c r="F144" s="1708"/>
      <c r="G144" s="1708"/>
      <c r="H144" s="1708"/>
      <c r="I144" s="1708"/>
      <c r="J144" s="1708"/>
      <c r="K144" s="1708"/>
      <c r="L144" s="1708"/>
    </row>
    <row r="145" spans="2:12" s="1909" customFormat="1" x14ac:dyDescent="0.25">
      <c r="B145" s="1708"/>
      <c r="C145" s="1708"/>
      <c r="D145" s="1708"/>
      <c r="E145" s="1708"/>
      <c r="F145" s="1708"/>
      <c r="G145" s="1708"/>
      <c r="H145" s="1708"/>
      <c r="I145" s="1708"/>
      <c r="J145" s="1708"/>
      <c r="K145" s="1708"/>
      <c r="L145" s="1708"/>
    </row>
    <row r="146" spans="2:12" s="1909" customFormat="1" x14ac:dyDescent="0.25">
      <c r="B146" s="1708"/>
      <c r="C146" s="1708"/>
      <c r="D146" s="1708"/>
      <c r="E146" s="1708"/>
      <c r="F146" s="1708"/>
      <c r="G146" s="1708"/>
      <c r="H146" s="1708"/>
      <c r="I146" s="1708"/>
      <c r="J146" s="1708"/>
      <c r="K146" s="1708"/>
      <c r="L146" s="1708"/>
    </row>
    <row r="147" spans="2:12" s="1909" customFormat="1" x14ac:dyDescent="0.25">
      <c r="B147" s="1708"/>
      <c r="C147" s="1708"/>
      <c r="D147" s="1708"/>
      <c r="E147" s="1708"/>
      <c r="F147" s="1708"/>
      <c r="G147" s="1708"/>
      <c r="H147" s="1708"/>
      <c r="I147" s="1708"/>
      <c r="J147" s="1708"/>
      <c r="K147" s="1708"/>
      <c r="L147" s="1708"/>
    </row>
    <row r="148" spans="2:12" s="1909" customFormat="1" x14ac:dyDescent="0.25">
      <c r="B148" s="1708"/>
      <c r="C148" s="1708"/>
      <c r="D148" s="1708"/>
      <c r="E148" s="1708"/>
      <c r="F148" s="1708"/>
      <c r="G148" s="1708"/>
      <c r="H148" s="1708"/>
      <c r="I148" s="1708"/>
      <c r="J148" s="1708"/>
      <c r="K148" s="1708"/>
      <c r="L148" s="1708"/>
    </row>
    <row r="149" spans="2:12" s="1909" customFormat="1" x14ac:dyDescent="0.25">
      <c r="B149" s="1708"/>
      <c r="C149" s="1708"/>
      <c r="D149" s="1708"/>
      <c r="E149" s="1708"/>
      <c r="F149" s="1708"/>
      <c r="G149" s="1708"/>
      <c r="H149" s="1708"/>
      <c r="I149" s="1708"/>
      <c r="J149" s="1708"/>
      <c r="K149" s="1708"/>
      <c r="L149" s="1708"/>
    </row>
    <row r="150" spans="2:12" s="1909" customFormat="1" x14ac:dyDescent="0.25">
      <c r="B150" s="1708"/>
      <c r="C150" s="1708"/>
      <c r="D150" s="1708"/>
      <c r="E150" s="1708"/>
      <c r="F150" s="1708"/>
      <c r="G150" s="1708"/>
      <c r="H150" s="1708"/>
      <c r="I150" s="1708"/>
      <c r="J150" s="1708"/>
      <c r="K150" s="1708"/>
      <c r="L150" s="1708"/>
    </row>
    <row r="151" spans="2:12" s="1909" customFormat="1" x14ac:dyDescent="0.25">
      <c r="B151" s="1708"/>
      <c r="C151" s="1708"/>
      <c r="D151" s="1708"/>
      <c r="E151" s="1708"/>
      <c r="F151" s="1708"/>
      <c r="G151" s="1708"/>
      <c r="H151" s="1708"/>
      <c r="I151" s="1708"/>
      <c r="J151" s="1708"/>
      <c r="K151" s="1708"/>
      <c r="L151" s="1708"/>
    </row>
    <row r="152" spans="2:12" s="1909" customFormat="1" x14ac:dyDescent="0.25">
      <c r="B152" s="1708"/>
      <c r="C152" s="1708"/>
      <c r="D152" s="1708"/>
      <c r="E152" s="1708"/>
      <c r="F152" s="1708"/>
      <c r="G152" s="1708"/>
      <c r="H152" s="1708"/>
      <c r="I152" s="1708"/>
      <c r="J152" s="1708"/>
      <c r="K152" s="1708"/>
      <c r="L152" s="1708"/>
    </row>
    <row r="153" spans="2:12" s="1909" customFormat="1" x14ac:dyDescent="0.25">
      <c r="B153" s="1708"/>
      <c r="C153" s="1708"/>
      <c r="D153" s="1708"/>
      <c r="E153" s="1708"/>
      <c r="F153" s="1708"/>
      <c r="G153" s="1708"/>
      <c r="H153" s="1708"/>
      <c r="I153" s="1708"/>
      <c r="J153" s="1708"/>
      <c r="K153" s="1708"/>
      <c r="L153" s="1708"/>
    </row>
    <row r="154" spans="2:12" s="1909" customFormat="1" x14ac:dyDescent="0.25">
      <c r="B154" s="1708"/>
      <c r="C154" s="1708"/>
      <c r="D154" s="1708"/>
      <c r="E154" s="1708"/>
      <c r="F154" s="1708"/>
      <c r="G154" s="1708"/>
      <c r="H154" s="1708"/>
      <c r="I154" s="1708"/>
      <c r="J154" s="1708"/>
      <c r="K154" s="1708"/>
      <c r="L154" s="1708"/>
    </row>
    <row r="155" spans="2:12" s="1909" customFormat="1" x14ac:dyDescent="0.25">
      <c r="B155" s="1708"/>
      <c r="C155" s="1708"/>
      <c r="D155" s="1708"/>
      <c r="E155" s="1708"/>
      <c r="F155" s="1708"/>
      <c r="G155" s="1708"/>
      <c r="H155" s="1708"/>
      <c r="I155" s="1708"/>
      <c r="J155" s="1708"/>
      <c r="K155" s="1708"/>
      <c r="L155" s="1708"/>
    </row>
    <row r="156" spans="2:12" s="1909" customFormat="1" x14ac:dyDescent="0.25">
      <c r="B156" s="1708"/>
      <c r="C156" s="1708"/>
      <c r="D156" s="1708"/>
      <c r="E156" s="1708"/>
      <c r="F156" s="1708"/>
      <c r="G156" s="1708"/>
      <c r="H156" s="1708"/>
      <c r="I156" s="1708"/>
      <c r="J156" s="1708"/>
      <c r="K156" s="1708"/>
      <c r="L156" s="1708"/>
    </row>
    <row r="157" spans="2:12" s="1909" customFormat="1" x14ac:dyDescent="0.25">
      <c r="B157" s="1708"/>
      <c r="C157" s="1708"/>
      <c r="D157" s="1708"/>
      <c r="E157" s="1708"/>
      <c r="F157" s="1708"/>
      <c r="G157" s="1708"/>
      <c r="H157" s="1708"/>
      <c r="I157" s="1708"/>
      <c r="J157" s="1708"/>
      <c r="K157" s="1708"/>
      <c r="L157" s="1708"/>
    </row>
    <row r="158" spans="2:12" s="1909" customFormat="1" x14ac:dyDescent="0.25">
      <c r="B158" s="1708"/>
      <c r="C158" s="1708"/>
      <c r="D158" s="1708"/>
      <c r="E158" s="1708"/>
      <c r="F158" s="1708"/>
      <c r="G158" s="1708"/>
      <c r="H158" s="1708"/>
      <c r="I158" s="1708"/>
      <c r="J158" s="1708"/>
      <c r="K158" s="1708"/>
      <c r="L158" s="1708"/>
    </row>
    <row r="159" spans="2:12" s="1909" customFormat="1" x14ac:dyDescent="0.25">
      <c r="B159" s="1708"/>
      <c r="C159" s="1708"/>
      <c r="D159" s="1708"/>
      <c r="E159" s="1708"/>
      <c r="F159" s="1708"/>
      <c r="G159" s="1708"/>
      <c r="H159" s="1708"/>
      <c r="I159" s="1708"/>
      <c r="J159" s="1708"/>
      <c r="K159" s="1708"/>
      <c r="L159" s="1708"/>
    </row>
    <row r="160" spans="2:12" s="1909" customFormat="1" x14ac:dyDescent="0.25">
      <c r="B160" s="1708"/>
      <c r="C160" s="1708"/>
      <c r="D160" s="1708"/>
      <c r="E160" s="1708"/>
      <c r="F160" s="1708"/>
      <c r="G160" s="1708"/>
      <c r="H160" s="1708"/>
      <c r="I160" s="1708"/>
      <c r="J160" s="1708"/>
      <c r="K160" s="1708"/>
      <c r="L160" s="1708"/>
    </row>
    <row r="161" spans="2:12" s="1909" customFormat="1" x14ac:dyDescent="0.25">
      <c r="B161" s="1708"/>
      <c r="C161" s="1708"/>
      <c r="D161" s="1708"/>
      <c r="E161" s="1708"/>
      <c r="F161" s="1708"/>
      <c r="G161" s="1708"/>
      <c r="H161" s="1708"/>
      <c r="I161" s="1708"/>
      <c r="J161" s="1708"/>
      <c r="K161" s="1708"/>
      <c r="L161" s="1708"/>
    </row>
    <row r="162" spans="2:12" s="1909" customFormat="1" x14ac:dyDescent="0.25">
      <c r="B162" s="1708"/>
      <c r="C162" s="1708"/>
      <c r="D162" s="1708"/>
      <c r="E162" s="1708"/>
      <c r="F162" s="1708"/>
      <c r="G162" s="1708"/>
      <c r="H162" s="1708"/>
      <c r="I162" s="1708"/>
      <c r="J162" s="1708"/>
      <c r="K162" s="1708"/>
      <c r="L162" s="1708"/>
    </row>
    <row r="163" spans="2:12" s="1909" customFormat="1" x14ac:dyDescent="0.25">
      <c r="B163" s="1708"/>
      <c r="C163" s="1708"/>
      <c r="D163" s="1708"/>
      <c r="E163" s="1708"/>
      <c r="F163" s="1708"/>
      <c r="G163" s="1708"/>
      <c r="H163" s="1708"/>
      <c r="I163" s="1708"/>
      <c r="J163" s="1708"/>
      <c r="K163" s="1708"/>
      <c r="L163" s="1708"/>
    </row>
    <row r="164" spans="2:12" s="1909" customFormat="1" x14ac:dyDescent="0.25">
      <c r="B164" s="1708"/>
      <c r="C164" s="1708"/>
      <c r="D164" s="1708"/>
      <c r="E164" s="1708"/>
      <c r="F164" s="1708"/>
      <c r="G164" s="1708"/>
      <c r="H164" s="1708"/>
      <c r="I164" s="1708"/>
      <c r="J164" s="1708"/>
      <c r="K164" s="1708"/>
      <c r="L164" s="1708"/>
    </row>
    <row r="165" spans="2:12" s="1909" customFormat="1" x14ac:dyDescent="0.25">
      <c r="B165" s="1708"/>
      <c r="C165" s="1708"/>
      <c r="D165" s="1708"/>
      <c r="E165" s="1708"/>
      <c r="F165" s="1708"/>
      <c r="G165" s="1708"/>
      <c r="H165" s="1708"/>
      <c r="I165" s="1708"/>
      <c r="J165" s="1708"/>
      <c r="K165" s="1708"/>
      <c r="L165" s="1708"/>
    </row>
    <row r="166" spans="2:12" s="1909" customFormat="1" x14ac:dyDescent="0.25">
      <c r="B166" s="1708"/>
      <c r="C166" s="1708"/>
      <c r="D166" s="1708"/>
      <c r="E166" s="1708"/>
      <c r="F166" s="1708"/>
      <c r="G166" s="1708"/>
      <c r="H166" s="1708"/>
      <c r="I166" s="1708"/>
      <c r="J166" s="1708"/>
      <c r="K166" s="1708"/>
      <c r="L166" s="1708"/>
    </row>
    <row r="167" spans="2:12" s="1909" customFormat="1" x14ac:dyDescent="0.25">
      <c r="B167" s="1708"/>
      <c r="C167" s="1708"/>
      <c r="D167" s="1708"/>
      <c r="E167" s="1708"/>
      <c r="F167" s="1708"/>
      <c r="G167" s="1708"/>
      <c r="H167" s="1708"/>
      <c r="I167" s="1708"/>
      <c r="J167" s="1708"/>
      <c r="K167" s="1708"/>
      <c r="L167" s="1708"/>
    </row>
    <row r="168" spans="2:12" s="1909" customFormat="1" x14ac:dyDescent="0.25">
      <c r="B168" s="1708"/>
      <c r="C168" s="1708"/>
      <c r="D168" s="1708"/>
      <c r="E168" s="1708"/>
      <c r="F168" s="1708"/>
      <c r="G168" s="1708"/>
      <c r="H168" s="1708"/>
      <c r="I168" s="1708"/>
      <c r="J168" s="1708"/>
      <c r="K168" s="1708"/>
      <c r="L168" s="1708"/>
    </row>
    <row r="169" spans="2:12" s="1909" customFormat="1" x14ac:dyDescent="0.25">
      <c r="B169" s="1708"/>
      <c r="C169" s="1708"/>
      <c r="D169" s="1708"/>
      <c r="E169" s="1708"/>
      <c r="F169" s="1708"/>
      <c r="G169" s="1708"/>
      <c r="H169" s="1708"/>
      <c r="I169" s="1708"/>
      <c r="J169" s="1708"/>
      <c r="K169" s="1708"/>
      <c r="L169" s="1708"/>
    </row>
    <row r="170" spans="2:12" s="1909" customFormat="1" x14ac:dyDescent="0.25">
      <c r="B170" s="1708"/>
      <c r="C170" s="1708"/>
      <c r="D170" s="1708"/>
      <c r="E170" s="1708"/>
      <c r="F170" s="1708"/>
      <c r="G170" s="1708"/>
      <c r="H170" s="1708"/>
      <c r="I170" s="1708"/>
      <c r="J170" s="1708"/>
      <c r="K170" s="1708"/>
      <c r="L170" s="1708"/>
    </row>
    <row r="171" spans="2:12" s="1909" customFormat="1" x14ac:dyDescent="0.25">
      <c r="B171" s="1708"/>
      <c r="C171" s="1708"/>
      <c r="D171" s="1708"/>
      <c r="E171" s="1708"/>
      <c r="F171" s="1708"/>
      <c r="G171" s="1708"/>
      <c r="H171" s="1708"/>
      <c r="I171" s="1708"/>
      <c r="J171" s="1708"/>
      <c r="K171" s="1708"/>
      <c r="L171" s="1708"/>
    </row>
    <row r="172" spans="2:12" s="1909" customFormat="1" x14ac:dyDescent="0.25">
      <c r="B172" s="1708"/>
      <c r="C172" s="1708"/>
      <c r="D172" s="1708"/>
      <c r="E172" s="1708"/>
      <c r="F172" s="1708"/>
      <c r="G172" s="1708"/>
      <c r="H172" s="1708"/>
      <c r="I172" s="1708"/>
      <c r="J172" s="1708"/>
      <c r="K172" s="1708"/>
      <c r="L172" s="1708"/>
    </row>
    <row r="173" spans="2:12" s="1909" customFormat="1" x14ac:dyDescent="0.25">
      <c r="B173" s="1708"/>
      <c r="C173" s="1708"/>
      <c r="D173" s="1708"/>
      <c r="E173" s="1708"/>
      <c r="F173" s="1708"/>
      <c r="G173" s="1708"/>
      <c r="H173" s="1708"/>
      <c r="I173" s="1708"/>
      <c r="J173" s="1708"/>
      <c r="K173" s="1708"/>
      <c r="L173" s="1708"/>
    </row>
    <row r="174" spans="2:12" s="1909" customFormat="1" x14ac:dyDescent="0.25">
      <c r="B174" s="1708"/>
      <c r="C174" s="1708"/>
      <c r="D174" s="1708"/>
      <c r="E174" s="1708"/>
      <c r="F174" s="1708"/>
      <c r="G174" s="1708"/>
      <c r="H174" s="1708"/>
      <c r="I174" s="1708"/>
      <c r="J174" s="1708"/>
      <c r="K174" s="1708"/>
      <c r="L174" s="1708"/>
    </row>
    <row r="175" spans="2:12" s="1909" customFormat="1" x14ac:dyDescent="0.25">
      <c r="B175" s="1708"/>
      <c r="C175" s="1708"/>
      <c r="D175" s="1708"/>
      <c r="E175" s="1708"/>
      <c r="F175" s="1708"/>
      <c r="G175" s="1708"/>
      <c r="H175" s="1708"/>
      <c r="I175" s="1708"/>
      <c r="J175" s="1708"/>
      <c r="K175" s="1708"/>
      <c r="L175" s="1708"/>
    </row>
    <row r="176" spans="2:12" s="1909" customFormat="1" x14ac:dyDescent="0.25">
      <c r="B176" s="1708"/>
      <c r="C176" s="1708"/>
      <c r="D176" s="1708"/>
      <c r="E176" s="1708"/>
      <c r="F176" s="1708"/>
      <c r="G176" s="1708"/>
      <c r="H176" s="1708"/>
      <c r="I176" s="1708"/>
      <c r="J176" s="1708"/>
      <c r="K176" s="1708"/>
      <c r="L176" s="1708"/>
    </row>
    <row r="177" spans="2:12" s="1909" customFormat="1" x14ac:dyDescent="0.25">
      <c r="B177" s="1708"/>
      <c r="C177" s="1708"/>
      <c r="D177" s="1708"/>
      <c r="E177" s="1708"/>
      <c r="F177" s="1708"/>
      <c r="G177" s="1708"/>
      <c r="H177" s="1708"/>
      <c r="I177" s="1708"/>
      <c r="J177" s="1708"/>
      <c r="K177" s="1708"/>
      <c r="L177" s="1708"/>
    </row>
    <row r="178" spans="2:12" s="1909" customFormat="1" x14ac:dyDescent="0.25">
      <c r="B178" s="1708"/>
      <c r="C178" s="1708"/>
      <c r="D178" s="1708"/>
      <c r="E178" s="1708"/>
      <c r="F178" s="1708"/>
      <c r="G178" s="1708"/>
      <c r="H178" s="1708"/>
      <c r="I178" s="1708"/>
      <c r="J178" s="1708"/>
      <c r="K178" s="1708"/>
      <c r="L178" s="1708"/>
    </row>
    <row r="179" spans="2:12" s="1909" customFormat="1" x14ac:dyDescent="0.25">
      <c r="B179" s="1708"/>
      <c r="C179" s="1708"/>
      <c r="D179" s="1708"/>
      <c r="E179" s="1708"/>
      <c r="F179" s="1708"/>
      <c r="G179" s="1708"/>
      <c r="H179" s="1708"/>
      <c r="I179" s="1708"/>
      <c r="J179" s="1708"/>
      <c r="K179" s="1708"/>
      <c r="L179" s="1708"/>
    </row>
    <row r="180" spans="2:12" s="1909" customFormat="1" x14ac:dyDescent="0.25">
      <c r="B180" s="1708"/>
      <c r="C180" s="1708"/>
      <c r="D180" s="1708"/>
      <c r="E180" s="1708"/>
      <c r="F180" s="1708"/>
      <c r="G180" s="1708"/>
      <c r="H180" s="1708"/>
      <c r="I180" s="1708"/>
      <c r="J180" s="1708"/>
      <c r="K180" s="1708"/>
      <c r="L180" s="1708"/>
    </row>
    <row r="181" spans="2:12" s="1909" customFormat="1" x14ac:dyDescent="0.25">
      <c r="B181" s="1708"/>
      <c r="C181" s="1708"/>
      <c r="D181" s="1708"/>
      <c r="E181" s="1708"/>
      <c r="F181" s="1708"/>
      <c r="G181" s="1708"/>
      <c r="H181" s="1708"/>
      <c r="I181" s="1708"/>
      <c r="J181" s="1708"/>
      <c r="K181" s="1708"/>
      <c r="L181" s="1708"/>
    </row>
    <row r="182" spans="2:12" s="1909" customFormat="1" x14ac:dyDescent="0.25">
      <c r="B182" s="1708"/>
      <c r="C182" s="1708"/>
      <c r="D182" s="1708"/>
      <c r="E182" s="1708"/>
      <c r="F182" s="1708"/>
      <c r="G182" s="1708"/>
      <c r="H182" s="1708"/>
      <c r="I182" s="1708"/>
      <c r="J182" s="1708"/>
      <c r="K182" s="1708"/>
      <c r="L182" s="1708"/>
    </row>
    <row r="183" spans="2:12" s="1909" customFormat="1" x14ac:dyDescent="0.25">
      <c r="B183" s="1708"/>
      <c r="C183" s="1708"/>
      <c r="D183" s="1708"/>
      <c r="E183" s="1708"/>
      <c r="F183" s="1708"/>
      <c r="G183" s="1708"/>
      <c r="H183" s="1708"/>
      <c r="I183" s="1708"/>
      <c r="J183" s="1708"/>
      <c r="K183" s="1708"/>
      <c r="L183" s="1708"/>
    </row>
    <row r="184" spans="2:12" s="1909" customFormat="1" x14ac:dyDescent="0.25">
      <c r="B184" s="1708"/>
      <c r="C184" s="1708"/>
      <c r="D184" s="1708"/>
      <c r="E184" s="1708"/>
      <c r="F184" s="1708"/>
      <c r="G184" s="1708"/>
      <c r="H184" s="1708"/>
      <c r="I184" s="1708"/>
      <c r="J184" s="1708"/>
      <c r="K184" s="1708"/>
      <c r="L184" s="1708"/>
    </row>
    <row r="185" spans="2:12" s="1909" customFormat="1" x14ac:dyDescent="0.25">
      <c r="B185" s="1708"/>
      <c r="C185" s="1708"/>
      <c r="D185" s="1708"/>
      <c r="E185" s="1708"/>
      <c r="F185" s="1708"/>
      <c r="G185" s="1708"/>
      <c r="H185" s="1708"/>
      <c r="I185" s="1708"/>
      <c r="J185" s="1708"/>
      <c r="K185" s="1708"/>
      <c r="L185" s="1708"/>
    </row>
    <row r="186" spans="2:12" s="1909" customFormat="1" x14ac:dyDescent="0.25">
      <c r="B186" s="1708"/>
      <c r="C186" s="1708"/>
      <c r="D186" s="1708"/>
      <c r="E186" s="1708"/>
      <c r="F186" s="1708"/>
      <c r="G186" s="1708"/>
      <c r="H186" s="1708"/>
      <c r="I186" s="1708"/>
      <c r="J186" s="1708"/>
      <c r="K186" s="1708"/>
      <c r="L186" s="1708"/>
    </row>
    <row r="187" spans="2:12" s="1909" customFormat="1" x14ac:dyDescent="0.25">
      <c r="B187" s="1708"/>
      <c r="C187" s="1708"/>
      <c r="D187" s="1708"/>
      <c r="E187" s="1708"/>
      <c r="F187" s="1708"/>
      <c r="G187" s="1708"/>
      <c r="H187" s="1708"/>
      <c r="I187" s="1708"/>
      <c r="J187" s="1708"/>
      <c r="K187" s="1708"/>
      <c r="L187" s="1708"/>
    </row>
    <row r="188" spans="2:12" s="1909" customFormat="1" x14ac:dyDescent="0.25">
      <c r="B188" s="1708"/>
      <c r="C188" s="1708"/>
      <c r="D188" s="1708"/>
      <c r="E188" s="1708"/>
      <c r="F188" s="1708"/>
      <c r="G188" s="1708"/>
      <c r="H188" s="1708"/>
      <c r="I188" s="1708"/>
      <c r="J188" s="1708"/>
      <c r="K188" s="1708"/>
      <c r="L188" s="1708"/>
    </row>
    <row r="189" spans="2:12" s="1909" customFormat="1" x14ac:dyDescent="0.25">
      <c r="B189" s="1708"/>
      <c r="C189" s="1708"/>
      <c r="D189" s="1708"/>
      <c r="E189" s="1708"/>
      <c r="F189" s="1708"/>
      <c r="G189" s="1708"/>
      <c r="H189" s="1708"/>
      <c r="I189" s="1708"/>
      <c r="J189" s="1708"/>
      <c r="K189" s="1708"/>
      <c r="L189" s="1708"/>
    </row>
    <row r="190" spans="2:12" s="1909" customFormat="1" x14ac:dyDescent="0.25">
      <c r="B190" s="1708"/>
      <c r="C190" s="1708"/>
      <c r="D190" s="1708"/>
      <c r="E190" s="1708"/>
      <c r="F190" s="1708"/>
      <c r="G190" s="1708"/>
      <c r="H190" s="1708"/>
      <c r="I190" s="1708"/>
      <c r="J190" s="1708"/>
      <c r="K190" s="1708"/>
      <c r="L190" s="1708"/>
    </row>
    <row r="191" spans="2:12" s="1909" customFormat="1" x14ac:dyDescent="0.25">
      <c r="B191" s="1708"/>
      <c r="C191" s="1708"/>
      <c r="D191" s="1708"/>
      <c r="E191" s="1708"/>
      <c r="F191" s="1708"/>
      <c r="G191" s="1708"/>
      <c r="H191" s="1708"/>
      <c r="I191" s="1708"/>
      <c r="J191" s="1708"/>
      <c r="K191" s="1708"/>
      <c r="L191" s="1708"/>
    </row>
    <row r="192" spans="2:12" s="1909" customFormat="1" x14ac:dyDescent="0.25">
      <c r="B192" s="1708"/>
      <c r="C192" s="1708"/>
      <c r="D192" s="1708"/>
      <c r="E192" s="1708"/>
      <c r="F192" s="1708"/>
      <c r="G192" s="1708"/>
      <c r="H192" s="1708"/>
      <c r="I192" s="1708"/>
      <c r="J192" s="1708"/>
      <c r="K192" s="1708"/>
      <c r="L192" s="1708"/>
    </row>
    <row r="193" spans="2:12" s="1909" customFormat="1" x14ac:dyDescent="0.25">
      <c r="B193" s="1708"/>
      <c r="C193" s="1708"/>
      <c r="D193" s="1708"/>
      <c r="E193" s="1708"/>
      <c r="F193" s="1708"/>
      <c r="G193" s="1708"/>
      <c r="H193" s="1708"/>
      <c r="I193" s="1708"/>
      <c r="J193" s="1708"/>
      <c r="K193" s="1708"/>
      <c r="L193" s="1708"/>
    </row>
    <row r="194" spans="2:12" s="1909" customFormat="1" x14ac:dyDescent="0.25">
      <c r="B194" s="1708"/>
      <c r="C194" s="1708"/>
      <c r="D194" s="1708"/>
      <c r="E194" s="1708"/>
      <c r="F194" s="1708"/>
      <c r="G194" s="1708"/>
      <c r="H194" s="1708"/>
      <c r="I194" s="1708"/>
      <c r="J194" s="1708"/>
      <c r="K194" s="1708"/>
      <c r="L194" s="1708"/>
    </row>
    <row r="195" spans="2:12" s="1909" customFormat="1" x14ac:dyDescent="0.25">
      <c r="B195" s="1708"/>
      <c r="C195" s="1708"/>
      <c r="D195" s="1708"/>
      <c r="E195" s="1708"/>
      <c r="F195" s="1708"/>
      <c r="G195" s="1708"/>
      <c r="H195" s="1708"/>
      <c r="I195" s="1708"/>
      <c r="J195" s="1708"/>
      <c r="K195" s="1708"/>
      <c r="L195" s="1708"/>
    </row>
    <row r="196" spans="2:12" s="1909" customFormat="1" x14ac:dyDescent="0.25">
      <c r="B196" s="1708"/>
      <c r="C196" s="1708"/>
      <c r="D196" s="1708"/>
      <c r="E196" s="1708"/>
      <c r="F196" s="1708"/>
      <c r="G196" s="1708"/>
      <c r="H196" s="1708"/>
      <c r="I196" s="1708"/>
      <c r="J196" s="1708"/>
      <c r="K196" s="1708"/>
      <c r="L196" s="1708"/>
    </row>
    <row r="197" spans="2:12" s="1909" customFormat="1" x14ac:dyDescent="0.25">
      <c r="B197" s="1708"/>
      <c r="C197" s="1708"/>
      <c r="D197" s="1708"/>
      <c r="E197" s="1708"/>
      <c r="F197" s="1708"/>
      <c r="G197" s="1708"/>
      <c r="H197" s="1708"/>
      <c r="I197" s="1708"/>
      <c r="J197" s="1708"/>
      <c r="K197" s="1708"/>
      <c r="L197" s="1708"/>
    </row>
    <row r="198" spans="2:12" s="1909" customFormat="1" x14ac:dyDescent="0.25">
      <c r="B198" s="1708"/>
      <c r="C198" s="1708"/>
      <c r="D198" s="1708"/>
      <c r="E198" s="1708"/>
      <c r="F198" s="1708"/>
      <c r="G198" s="1708"/>
      <c r="H198" s="1708"/>
      <c r="I198" s="1708"/>
      <c r="J198" s="1708"/>
      <c r="K198" s="1708"/>
      <c r="L198" s="1708"/>
    </row>
    <row r="199" spans="2:12" s="1909" customFormat="1" x14ac:dyDescent="0.25">
      <c r="B199" s="1708"/>
      <c r="C199" s="1708"/>
      <c r="D199" s="1708"/>
      <c r="E199" s="1708"/>
      <c r="F199" s="1708"/>
      <c r="G199" s="1708"/>
      <c r="H199" s="1708"/>
      <c r="I199" s="1708"/>
      <c r="J199" s="1708"/>
      <c r="K199" s="1708"/>
      <c r="L199" s="1708"/>
    </row>
    <row r="200" spans="2:12" s="1909" customFormat="1" x14ac:dyDescent="0.25">
      <c r="B200" s="1708"/>
      <c r="C200" s="1708"/>
      <c r="D200" s="1708"/>
      <c r="E200" s="1708"/>
      <c r="F200" s="1708"/>
      <c r="G200" s="1708"/>
      <c r="H200" s="1708"/>
      <c r="I200" s="1708"/>
      <c r="J200" s="1708"/>
      <c r="K200" s="1708"/>
      <c r="L200" s="1708"/>
    </row>
    <row r="201" spans="2:12" s="1909" customFormat="1" x14ac:dyDescent="0.25">
      <c r="B201" s="1708"/>
      <c r="C201" s="1708"/>
      <c r="D201" s="1708"/>
      <c r="E201" s="1708"/>
      <c r="F201" s="1708"/>
      <c r="G201" s="1708"/>
      <c r="H201" s="1708"/>
      <c r="I201" s="1708"/>
      <c r="J201" s="1708"/>
      <c r="K201" s="1708"/>
      <c r="L201" s="1708"/>
    </row>
    <row r="202" spans="2:12" s="1909" customFormat="1" x14ac:dyDescent="0.25">
      <c r="B202" s="1708"/>
      <c r="C202" s="1708"/>
      <c r="D202" s="1708"/>
      <c r="E202" s="1708"/>
      <c r="F202" s="1708"/>
      <c r="G202" s="1708"/>
      <c r="H202" s="1708"/>
      <c r="I202" s="1708"/>
      <c r="J202" s="1708"/>
      <c r="K202" s="1708"/>
      <c r="L202" s="1708"/>
    </row>
    <row r="203" spans="2:12" s="1909" customFormat="1" x14ac:dyDescent="0.25">
      <c r="B203" s="1708"/>
      <c r="C203" s="1708"/>
      <c r="D203" s="1708"/>
      <c r="E203" s="1708"/>
      <c r="F203" s="1708"/>
      <c r="G203" s="1708"/>
      <c r="H203" s="1708"/>
      <c r="I203" s="1708"/>
      <c r="J203" s="1708"/>
      <c r="K203" s="1708"/>
      <c r="L203" s="1708"/>
    </row>
    <row r="204" spans="2:12" s="1909" customFormat="1" x14ac:dyDescent="0.25">
      <c r="B204" s="1708"/>
      <c r="C204" s="1708"/>
      <c r="D204" s="1708"/>
      <c r="E204" s="1708"/>
      <c r="F204" s="1708"/>
      <c r="G204" s="1708"/>
      <c r="H204" s="1708"/>
      <c r="I204" s="1708"/>
      <c r="J204" s="1708"/>
      <c r="K204" s="1708"/>
      <c r="L204" s="1708"/>
    </row>
    <row r="205" spans="2:12" s="1909" customFormat="1" x14ac:dyDescent="0.25">
      <c r="B205" s="1708"/>
      <c r="C205" s="1708"/>
      <c r="D205" s="1708"/>
      <c r="E205" s="1708"/>
      <c r="F205" s="1708"/>
      <c r="G205" s="1708"/>
      <c r="H205" s="1708"/>
      <c r="I205" s="1708"/>
      <c r="J205" s="1708"/>
      <c r="K205" s="1708"/>
      <c r="L205" s="1708"/>
    </row>
    <row r="206" spans="2:12" s="1909" customFormat="1" x14ac:dyDescent="0.25">
      <c r="B206" s="1708"/>
      <c r="C206" s="1708"/>
      <c r="D206" s="1708"/>
      <c r="E206" s="1708"/>
      <c r="F206" s="1708"/>
      <c r="G206" s="1708"/>
      <c r="H206" s="1708"/>
      <c r="I206" s="1708"/>
      <c r="J206" s="1708"/>
      <c r="K206" s="1708"/>
      <c r="L206" s="1708"/>
    </row>
    <row r="207" spans="2:12" s="1909" customFormat="1" x14ac:dyDescent="0.25">
      <c r="B207" s="1708"/>
      <c r="C207" s="1708"/>
      <c r="D207" s="1708"/>
      <c r="E207" s="1708"/>
      <c r="F207" s="1708"/>
      <c r="G207" s="1708"/>
      <c r="H207" s="1708"/>
      <c r="I207" s="1708"/>
      <c r="J207" s="1708"/>
      <c r="K207" s="1708"/>
      <c r="L207" s="1708"/>
    </row>
    <row r="208" spans="2:12" s="1909" customFormat="1" x14ac:dyDescent="0.25">
      <c r="B208" s="1708"/>
      <c r="C208" s="1708"/>
      <c r="D208" s="1708"/>
      <c r="E208" s="1708"/>
      <c r="F208" s="1708"/>
      <c r="G208" s="1708"/>
      <c r="H208" s="1708"/>
      <c r="I208" s="1708"/>
      <c r="J208" s="1708"/>
      <c r="K208" s="1708"/>
      <c r="L208" s="1708"/>
    </row>
    <row r="209" spans="2:12" s="1909" customFormat="1" x14ac:dyDescent="0.25">
      <c r="B209" s="1708"/>
      <c r="C209" s="1708"/>
      <c r="D209" s="1708"/>
      <c r="E209" s="1708"/>
      <c r="F209" s="1708"/>
      <c r="G209" s="1708"/>
      <c r="H209" s="1708"/>
      <c r="I209" s="1708"/>
      <c r="J209" s="1708"/>
      <c r="K209" s="1708"/>
      <c r="L209" s="1708"/>
    </row>
    <row r="210" spans="2:12" s="1909" customFormat="1" x14ac:dyDescent="0.25">
      <c r="B210" s="1708"/>
      <c r="C210" s="1708"/>
      <c r="D210" s="1708"/>
      <c r="E210" s="1708"/>
      <c r="F210" s="1708"/>
      <c r="G210" s="1708"/>
      <c r="H210" s="1708"/>
      <c r="I210" s="1708"/>
      <c r="J210" s="1708"/>
      <c r="K210" s="1708"/>
      <c r="L210" s="1708"/>
    </row>
    <row r="211" spans="2:12" s="1909" customFormat="1" x14ac:dyDescent="0.25">
      <c r="B211" s="1708"/>
      <c r="C211" s="1708"/>
      <c r="D211" s="1708"/>
      <c r="E211" s="1708"/>
      <c r="F211" s="1708"/>
      <c r="G211" s="1708"/>
      <c r="H211" s="1708"/>
      <c r="I211" s="1708"/>
      <c r="J211" s="1708"/>
      <c r="K211" s="1708"/>
      <c r="L211" s="1708"/>
    </row>
    <row r="212" spans="2:12" s="1909" customFormat="1" x14ac:dyDescent="0.25">
      <c r="B212" s="1708"/>
      <c r="C212" s="1708"/>
      <c r="D212" s="1708"/>
      <c r="E212" s="1708"/>
      <c r="F212" s="1708"/>
      <c r="G212" s="1708"/>
      <c r="H212" s="1708"/>
      <c r="I212" s="1708"/>
      <c r="J212" s="1708"/>
      <c r="K212" s="1708"/>
      <c r="L212" s="1708"/>
    </row>
    <row r="213" spans="2:12" s="1909" customFormat="1" x14ac:dyDescent="0.25">
      <c r="B213" s="1708"/>
      <c r="C213" s="1708"/>
      <c r="D213" s="1708"/>
      <c r="E213" s="1708"/>
      <c r="F213" s="1708"/>
      <c r="G213" s="1708"/>
      <c r="H213" s="1708"/>
      <c r="I213" s="1708"/>
      <c r="J213" s="1708"/>
      <c r="K213" s="1708"/>
      <c r="L213" s="1708"/>
    </row>
    <row r="214" spans="2:12" s="1909" customFormat="1" x14ac:dyDescent="0.25">
      <c r="B214" s="1708"/>
      <c r="C214" s="1708"/>
      <c r="D214" s="1708"/>
      <c r="E214" s="1708"/>
      <c r="F214" s="1708"/>
      <c r="G214" s="1708"/>
      <c r="H214" s="1708"/>
      <c r="I214" s="1708"/>
      <c r="J214" s="1708"/>
      <c r="K214" s="1708"/>
      <c r="L214" s="1708"/>
    </row>
    <row r="215" spans="2:12" s="1909" customFormat="1" x14ac:dyDescent="0.25">
      <c r="B215" s="1708"/>
      <c r="C215" s="1708"/>
      <c r="D215" s="1708"/>
      <c r="E215" s="1708"/>
      <c r="F215" s="1708"/>
      <c r="G215" s="1708"/>
      <c r="H215" s="1708"/>
      <c r="I215" s="1708"/>
      <c r="J215" s="1708"/>
      <c r="K215" s="1708"/>
      <c r="L215" s="1708"/>
    </row>
    <row r="216" spans="2:12" s="1909" customFormat="1" x14ac:dyDescent="0.25">
      <c r="B216" s="1708"/>
      <c r="C216" s="1708"/>
      <c r="D216" s="1708"/>
      <c r="E216" s="1708"/>
      <c r="F216" s="1708"/>
      <c r="G216" s="1708"/>
      <c r="H216" s="1708"/>
      <c r="I216" s="1708"/>
      <c r="J216" s="1708"/>
      <c r="K216" s="1708"/>
      <c r="L216" s="1708"/>
    </row>
    <row r="217" spans="2:12" s="1909" customFormat="1" x14ac:dyDescent="0.25">
      <c r="B217" s="1708"/>
      <c r="C217" s="1708"/>
      <c r="D217" s="1708"/>
      <c r="E217" s="1708"/>
      <c r="F217" s="1708"/>
      <c r="G217" s="1708"/>
      <c r="H217" s="1708"/>
      <c r="I217" s="1708"/>
      <c r="J217" s="1708"/>
      <c r="K217" s="1708"/>
      <c r="L217" s="1708"/>
    </row>
    <row r="218" spans="2:12" s="1909" customFormat="1" x14ac:dyDescent="0.25">
      <c r="B218" s="1708"/>
      <c r="C218" s="1708"/>
      <c r="D218" s="1708"/>
      <c r="E218" s="1708"/>
      <c r="F218" s="1708"/>
      <c r="G218" s="1708"/>
      <c r="H218" s="1708"/>
      <c r="I218" s="1708"/>
      <c r="J218" s="1708"/>
      <c r="K218" s="1708"/>
      <c r="L218" s="1708"/>
    </row>
    <row r="219" spans="2:12" s="1909" customFormat="1" x14ac:dyDescent="0.25">
      <c r="B219" s="1708"/>
      <c r="C219" s="1708"/>
      <c r="D219" s="1708"/>
      <c r="E219" s="1708"/>
      <c r="F219" s="1708"/>
      <c r="G219" s="1708"/>
      <c r="H219" s="1708"/>
      <c r="I219" s="1708"/>
      <c r="J219" s="1708"/>
      <c r="K219" s="1708"/>
      <c r="L219" s="1708"/>
    </row>
    <row r="220" spans="2:12" s="1909" customFormat="1" x14ac:dyDescent="0.25">
      <c r="B220" s="1708"/>
      <c r="C220" s="1708"/>
      <c r="D220" s="1708"/>
      <c r="E220" s="1708"/>
      <c r="F220" s="1708"/>
      <c r="G220" s="1708"/>
      <c r="H220" s="1708"/>
      <c r="I220" s="1708"/>
      <c r="J220" s="1708"/>
      <c r="K220" s="1708"/>
      <c r="L220" s="1708"/>
    </row>
    <row r="221" spans="2:12" s="1909" customFormat="1" x14ac:dyDescent="0.25">
      <c r="B221" s="1708"/>
      <c r="C221" s="1708"/>
      <c r="D221" s="1708"/>
      <c r="E221" s="1708"/>
      <c r="F221" s="1708"/>
      <c r="G221" s="1708"/>
      <c r="H221" s="1708"/>
      <c r="I221" s="1708"/>
      <c r="J221" s="1708"/>
      <c r="K221" s="1708"/>
      <c r="L221" s="1708"/>
    </row>
    <row r="222" spans="2:12" s="1909" customFormat="1" x14ac:dyDescent="0.25">
      <c r="B222" s="1708"/>
      <c r="C222" s="1708"/>
      <c r="D222" s="1708"/>
      <c r="E222" s="1708"/>
      <c r="F222" s="1708"/>
      <c r="G222" s="1708"/>
      <c r="H222" s="1708"/>
      <c r="I222" s="1708"/>
      <c r="J222" s="1708"/>
      <c r="K222" s="1708"/>
      <c r="L222" s="1708"/>
    </row>
    <row r="223" spans="2:12" s="1909" customFormat="1" x14ac:dyDescent="0.25">
      <c r="B223" s="1708"/>
      <c r="C223" s="1708"/>
      <c r="D223" s="1708"/>
      <c r="E223" s="1708"/>
      <c r="F223" s="1708"/>
      <c r="G223" s="1708"/>
      <c r="H223" s="1708"/>
      <c r="I223" s="1708"/>
      <c r="J223" s="1708"/>
      <c r="K223" s="1708"/>
      <c r="L223" s="1708"/>
    </row>
    <row r="224" spans="2:12" s="1909" customFormat="1" x14ac:dyDescent="0.25">
      <c r="B224" s="1708"/>
      <c r="C224" s="1708"/>
      <c r="D224" s="1708"/>
      <c r="E224" s="1708"/>
      <c r="F224" s="1708"/>
      <c r="G224" s="1708"/>
      <c r="H224" s="1708"/>
      <c r="I224" s="1708"/>
      <c r="J224" s="1708"/>
      <c r="K224" s="1708"/>
      <c r="L224" s="1708"/>
    </row>
    <row r="225" spans="2:12" s="1909" customFormat="1" x14ac:dyDescent="0.25">
      <c r="B225" s="1708"/>
      <c r="C225" s="1708"/>
      <c r="D225" s="1708"/>
      <c r="E225" s="1708"/>
      <c r="F225" s="1708"/>
      <c r="G225" s="1708"/>
      <c r="H225" s="1708"/>
      <c r="I225" s="1708"/>
      <c r="J225" s="1708"/>
      <c r="K225" s="1708"/>
      <c r="L225" s="1708"/>
    </row>
    <row r="226" spans="2:12" s="1909" customFormat="1" x14ac:dyDescent="0.25">
      <c r="B226" s="1708"/>
      <c r="C226" s="1708"/>
      <c r="D226" s="1708"/>
      <c r="E226" s="1708"/>
      <c r="F226" s="1708"/>
      <c r="G226" s="1708"/>
      <c r="H226" s="1708"/>
      <c r="I226" s="1708"/>
      <c r="J226" s="1708"/>
      <c r="K226" s="1708"/>
      <c r="L226" s="1708"/>
    </row>
    <row r="227" spans="2:12" s="1909" customFormat="1" x14ac:dyDescent="0.25">
      <c r="B227" s="1708"/>
      <c r="C227" s="1708"/>
      <c r="D227" s="1708"/>
      <c r="E227" s="1708"/>
      <c r="F227" s="1708"/>
      <c r="G227" s="1708"/>
      <c r="H227" s="1708"/>
      <c r="I227" s="1708"/>
      <c r="J227" s="1708"/>
      <c r="K227" s="1708"/>
      <c r="L227" s="1708"/>
    </row>
    <row r="228" spans="2:12" s="1909" customFormat="1" x14ac:dyDescent="0.25">
      <c r="B228" s="1708"/>
      <c r="C228" s="1708"/>
      <c r="D228" s="1708"/>
      <c r="E228" s="1708"/>
      <c r="F228" s="1708"/>
      <c r="G228" s="1708"/>
      <c r="H228" s="1708"/>
      <c r="I228" s="1708"/>
      <c r="J228" s="1708"/>
      <c r="K228" s="1708"/>
      <c r="L228" s="1708"/>
    </row>
    <row r="229" spans="2:12" s="1909" customFormat="1" x14ac:dyDescent="0.25">
      <c r="B229" s="1708"/>
      <c r="C229" s="1708"/>
      <c r="D229" s="1708"/>
      <c r="E229" s="1708"/>
      <c r="F229" s="1708"/>
      <c r="G229" s="1708"/>
      <c r="H229" s="1708"/>
      <c r="I229" s="1708"/>
      <c r="J229" s="1708"/>
      <c r="K229" s="1708"/>
      <c r="L229" s="1708"/>
    </row>
    <row r="230" spans="2:12" s="1909" customFormat="1" x14ac:dyDescent="0.25">
      <c r="B230" s="1708"/>
      <c r="C230" s="1708"/>
      <c r="D230" s="1708"/>
      <c r="E230" s="1708"/>
      <c r="F230" s="1708"/>
      <c r="G230" s="1708"/>
      <c r="H230" s="1708"/>
      <c r="I230" s="1708"/>
      <c r="J230" s="1708"/>
      <c r="K230" s="1708"/>
      <c r="L230" s="1708"/>
    </row>
    <row r="231" spans="2:12" s="1909" customFormat="1" x14ac:dyDescent="0.25">
      <c r="B231" s="1708"/>
      <c r="C231" s="1708"/>
      <c r="D231" s="1708"/>
      <c r="E231" s="1708"/>
      <c r="F231" s="1708"/>
      <c r="G231" s="1708"/>
      <c r="H231" s="1708"/>
      <c r="I231" s="1708"/>
      <c r="J231" s="1708"/>
      <c r="K231" s="1708"/>
      <c r="L231" s="1708"/>
    </row>
    <row r="232" spans="2:12" s="1909" customFormat="1" x14ac:dyDescent="0.25">
      <c r="B232" s="1708"/>
      <c r="C232" s="1708"/>
      <c r="D232" s="1708"/>
      <c r="E232" s="1708"/>
      <c r="F232" s="1708"/>
      <c r="G232" s="1708"/>
      <c r="H232" s="1708"/>
      <c r="I232" s="1708"/>
      <c r="J232" s="1708"/>
      <c r="K232" s="1708"/>
      <c r="L232" s="1708"/>
    </row>
    <row r="233" spans="2:12" s="1909" customFormat="1" x14ac:dyDescent="0.25">
      <c r="B233" s="1708"/>
      <c r="C233" s="1708"/>
      <c r="D233" s="1708"/>
      <c r="E233" s="1708"/>
      <c r="F233" s="1708"/>
      <c r="G233" s="1708"/>
      <c r="H233" s="1708"/>
      <c r="I233" s="1708"/>
      <c r="J233" s="1708"/>
      <c r="K233" s="1708"/>
      <c r="L233" s="1708"/>
    </row>
    <row r="234" spans="2:12" s="1909" customFormat="1" x14ac:dyDescent="0.25">
      <c r="B234" s="1708"/>
      <c r="C234" s="1708"/>
      <c r="D234" s="1708"/>
      <c r="E234" s="1708"/>
      <c r="F234" s="1708"/>
      <c r="G234" s="1708"/>
      <c r="H234" s="1708"/>
      <c r="I234" s="1708"/>
      <c r="J234" s="1708"/>
      <c r="K234" s="1708"/>
      <c r="L234" s="1708"/>
    </row>
    <row r="235" spans="2:12" s="1909" customFormat="1" x14ac:dyDescent="0.25">
      <c r="B235" s="1708"/>
      <c r="C235" s="1708"/>
      <c r="D235" s="1708"/>
      <c r="E235" s="1708"/>
      <c r="F235" s="1708"/>
      <c r="G235" s="1708"/>
      <c r="H235" s="1708"/>
      <c r="I235" s="1708"/>
      <c r="J235" s="1708"/>
      <c r="K235" s="1708"/>
      <c r="L235" s="1708"/>
    </row>
    <row r="236" spans="2:12" s="1909" customFormat="1" x14ac:dyDescent="0.25">
      <c r="B236" s="1708"/>
      <c r="C236" s="1708"/>
      <c r="D236" s="1708"/>
      <c r="E236" s="1708"/>
      <c r="F236" s="1708"/>
      <c r="G236" s="1708"/>
      <c r="H236" s="1708"/>
      <c r="I236" s="1708"/>
      <c r="J236" s="1708"/>
      <c r="K236" s="1708"/>
      <c r="L236" s="1708"/>
    </row>
    <row r="237" spans="2:12" s="1909" customFormat="1" x14ac:dyDescent="0.25">
      <c r="B237" s="1708"/>
      <c r="C237" s="1708"/>
      <c r="D237" s="1708"/>
      <c r="E237" s="1708"/>
      <c r="F237" s="1708"/>
      <c r="G237" s="1708"/>
      <c r="H237" s="1708"/>
      <c r="I237" s="1708"/>
      <c r="J237" s="1708"/>
      <c r="K237" s="1708"/>
      <c r="L237" s="1708"/>
    </row>
    <row r="238" spans="2:12" s="1909" customFormat="1" x14ac:dyDescent="0.25">
      <c r="B238" s="1708"/>
      <c r="C238" s="1708"/>
      <c r="D238" s="1708"/>
      <c r="E238" s="1708"/>
      <c r="F238" s="1708"/>
      <c r="G238" s="1708"/>
      <c r="H238" s="1708"/>
      <c r="I238" s="1708"/>
      <c r="J238" s="1708"/>
      <c r="K238" s="1708"/>
      <c r="L238" s="1708"/>
    </row>
    <row r="239" spans="2:12" s="1909" customFormat="1" x14ac:dyDescent="0.25">
      <c r="B239" s="1708"/>
      <c r="C239" s="1708"/>
      <c r="D239" s="1708"/>
      <c r="E239" s="1708"/>
      <c r="F239" s="1708"/>
      <c r="G239" s="1708"/>
      <c r="H239" s="1708"/>
      <c r="I239" s="1708"/>
      <c r="J239" s="1708"/>
      <c r="K239" s="1708"/>
      <c r="L239" s="1708"/>
    </row>
    <row r="240" spans="2:12" s="1909" customFormat="1" x14ac:dyDescent="0.25">
      <c r="B240" s="1708"/>
      <c r="C240" s="1708"/>
      <c r="D240" s="1708"/>
      <c r="E240" s="1708"/>
      <c r="F240" s="1708"/>
      <c r="G240" s="1708"/>
      <c r="H240" s="1708"/>
      <c r="I240" s="1708"/>
      <c r="J240" s="1708"/>
      <c r="K240" s="1708"/>
      <c r="L240" s="1708"/>
    </row>
    <row r="241" spans="2:12" s="1909" customFormat="1" x14ac:dyDescent="0.25">
      <c r="B241" s="1708"/>
      <c r="C241" s="1708"/>
      <c r="D241" s="1708"/>
      <c r="E241" s="1708"/>
      <c r="F241" s="1708"/>
      <c r="G241" s="1708"/>
      <c r="H241" s="1708"/>
      <c r="I241" s="1708"/>
      <c r="J241" s="1708"/>
      <c r="K241" s="1708"/>
      <c r="L241" s="1708"/>
    </row>
    <row r="242" spans="2:12" s="1909" customFormat="1" x14ac:dyDescent="0.25">
      <c r="B242" s="1708"/>
      <c r="C242" s="1708"/>
      <c r="D242" s="1708"/>
      <c r="E242" s="1708"/>
      <c r="F242" s="1708"/>
      <c r="G242" s="1708"/>
      <c r="H242" s="1708"/>
      <c r="I242" s="1708"/>
      <c r="J242" s="1708"/>
      <c r="K242" s="1708"/>
      <c r="L242" s="1708"/>
    </row>
    <row r="243" spans="2:12" s="1909" customFormat="1" x14ac:dyDescent="0.25">
      <c r="B243" s="1708"/>
      <c r="C243" s="1708"/>
      <c r="D243" s="1708"/>
      <c r="E243" s="1708"/>
      <c r="F243" s="1708"/>
      <c r="G243" s="1708"/>
      <c r="H243" s="1708"/>
      <c r="I243" s="1708"/>
      <c r="J243" s="1708"/>
      <c r="K243" s="1708"/>
      <c r="L243" s="1708"/>
    </row>
    <row r="244" spans="2:12" s="1909" customFormat="1" x14ac:dyDescent="0.25">
      <c r="B244" s="1708"/>
      <c r="C244" s="1708"/>
      <c r="D244" s="1708"/>
      <c r="E244" s="1708"/>
      <c r="F244" s="1708"/>
      <c r="G244" s="1708"/>
      <c r="H244" s="1708"/>
      <c r="I244" s="1708"/>
      <c r="J244" s="1708"/>
      <c r="K244" s="1708"/>
      <c r="L244" s="1708"/>
    </row>
  </sheetData>
  <sheetProtection password="E593" sheet="1" objects="1" scenarios="1"/>
  <customSheetViews>
    <customSheetView guid="{B63065A1-7838-417A-8679-08A8A2B79CD8}" scale="85" showPageBreaks="1" showGridLines="0" fitToPage="1" printArea="1" topLeftCell="A16">
      <selection activeCell="C3" sqref="C3:K3"/>
      <pageMargins left="0.25" right="0.25" top="0.5" bottom="0.5" header="0" footer="0"/>
      <printOptions horizontalCentered="1"/>
      <pageSetup scale="65" orientation="portrait" blackAndWhite="1" r:id="rId1"/>
      <headerFooter alignWithMargins="0"/>
    </customSheetView>
  </customSheetViews>
  <mergeCells count="19">
    <mergeCell ref="C3:K3"/>
    <mergeCell ref="F14:G14"/>
    <mergeCell ref="F15:G15"/>
    <mergeCell ref="F16:G16"/>
    <mergeCell ref="F17:G17"/>
    <mergeCell ref="C4:K4"/>
    <mergeCell ref="C6:L6"/>
    <mergeCell ref="C7:L7"/>
    <mergeCell ref="C10:L10"/>
    <mergeCell ref="C8:L8"/>
    <mergeCell ref="B47:M48"/>
    <mergeCell ref="C49:L58"/>
    <mergeCell ref="F23:G23"/>
    <mergeCell ref="F24:G24"/>
    <mergeCell ref="F25:G25"/>
    <mergeCell ref="F18:G18"/>
    <mergeCell ref="F20:G20"/>
    <mergeCell ref="F21:G21"/>
    <mergeCell ref="F22:G22"/>
  </mergeCells>
  <conditionalFormatting sqref="I34 I41 J16">
    <cfRule type="expression" dxfId="12" priority="2" stopIfTrue="1">
      <formula>$F$14="(Estimated)"</formula>
    </cfRule>
  </conditionalFormatting>
  <conditionalFormatting sqref="J18">
    <cfRule type="expression" dxfId="11" priority="1" stopIfTrue="1">
      <formula>$F$14="(Estimated)"</formula>
    </cfRule>
  </conditionalFormatting>
  <dataValidations count="2">
    <dataValidation allowBlank="1" showErrorMessage="1" prompt="The retirement amount entered in this cell should represent retirements for plant being replaced by major additions.  If also shown in cell I16 as retirements from Attach 11, amend the formula in I16 on this sheet by placing -H16 in the formula string. " sqref="I23:J23"/>
    <dataValidation allowBlank="1" showInputMessage="1" showErrorMessage="1" prompt="You must manually input historical balances in this Attachment (January 1 for Accumulated Depreciation and CIAC; December 31 for Materials and Supplies).  " sqref="K14"/>
  </dataValidations>
  <printOptions horizontalCentered="1"/>
  <pageMargins left="0.25" right="0.25" top="0.5" bottom="0.5" header="0" footer="0"/>
  <pageSetup scale="65"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BackMain">
                <anchor moveWithCells="1" sizeWithCells="1">
                  <from>
                    <xdr:col>1</xdr:col>
                    <xdr:colOff>22860</xdr:colOff>
                    <xdr:row>0</xdr:row>
                    <xdr:rowOff>45720</xdr:rowOff>
                  </from>
                  <to>
                    <xdr:col>2</xdr:col>
                    <xdr:colOff>99060</xdr:colOff>
                    <xdr:row>2</xdr:row>
                    <xdr:rowOff>129540</xdr:rowOff>
                  </to>
                </anchor>
              </controlPr>
            </control>
          </mc:Choice>
        </mc:AlternateContent>
        <mc:AlternateContent xmlns:mc="http://schemas.openxmlformats.org/markup-compatibility/2006">
          <mc:Choice Requires="x14">
            <control shapeId="18434" r:id="rId6" name="Button 2">
              <controlPr defaultSize="0" print="0" autoFill="0" autoPict="0" macro="[0]!BackMain">
                <anchor moveWithCells="1" sizeWithCells="1">
                  <from>
                    <xdr:col>11</xdr:col>
                    <xdr:colOff>845820</xdr:colOff>
                    <xdr:row>59</xdr:row>
                    <xdr:rowOff>160020</xdr:rowOff>
                  </from>
                  <to>
                    <xdr:col>13</xdr:col>
                    <xdr:colOff>0</xdr:colOff>
                    <xdr:row>62</xdr:row>
                    <xdr:rowOff>76200</xdr:rowOff>
                  </to>
                </anchor>
              </controlPr>
            </control>
          </mc:Choice>
        </mc:AlternateContent>
        <mc:AlternateContent xmlns:mc="http://schemas.openxmlformats.org/markup-compatibility/2006">
          <mc:Choice Requires="x14">
            <control shapeId="18435" r:id="rId7" name="Button 3">
              <controlPr defaultSize="0" print="0" autoFill="0" autoPict="0" macro="[0]!PrintAttach13">
                <anchor moveWithCells="1" sizeWithCells="1">
                  <from>
                    <xdr:col>11</xdr:col>
                    <xdr:colOff>487680</xdr:colOff>
                    <xdr:row>0</xdr:row>
                    <xdr:rowOff>91440</xdr:rowOff>
                  </from>
                  <to>
                    <xdr:col>13</xdr:col>
                    <xdr:colOff>7620</xdr:colOff>
                    <xdr:row>2</xdr:row>
                    <xdr:rowOff>76200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L200"/>
  <sheetViews>
    <sheetView showGridLines="0" zoomScaleNormal="100" workbookViewId="0">
      <selection activeCell="G44" sqref="G44"/>
    </sheetView>
  </sheetViews>
  <sheetFormatPr defaultRowHeight="13.2" x14ac:dyDescent="0.25"/>
  <cols>
    <col min="1" max="1" width="8.88671875" style="28"/>
    <col min="2" max="2" width="12" style="28" customWidth="1"/>
    <col min="3" max="3" width="10.33203125" style="28" customWidth="1"/>
    <col min="4" max="4" width="29.109375" style="28" customWidth="1"/>
    <col min="5" max="5" width="10.33203125" style="28" customWidth="1"/>
    <col min="6" max="6" width="19.33203125" style="28" customWidth="1"/>
    <col min="7" max="7" width="20.33203125" style="28" customWidth="1"/>
    <col min="8" max="8" width="18.33203125" style="28" customWidth="1"/>
    <col min="9" max="9" width="5.6640625" style="28" customWidth="1"/>
    <col min="10" max="10" width="10.33203125" style="28" customWidth="1"/>
    <col min="11" max="11" width="8.88671875" style="1708"/>
    <col min="12" max="12" width="8.88671875" style="57"/>
    <col min="13" max="16384" width="8.88671875" style="28"/>
  </cols>
  <sheetData>
    <row r="1" spans="1:10" x14ac:dyDescent="0.25">
      <c r="A1" s="78"/>
      <c r="B1" s="518" t="str">
        <f>TestYear &amp; " Test Year"</f>
        <v>2023 Test Year</v>
      </c>
      <c r="C1" s="475"/>
      <c r="D1" s="475"/>
      <c r="E1" s="475"/>
      <c r="F1" s="475"/>
      <c r="G1" s="475"/>
      <c r="H1" s="475"/>
      <c r="I1" s="470" t="s">
        <v>601</v>
      </c>
      <c r="J1" s="78"/>
    </row>
    <row r="2" spans="1:10" x14ac:dyDescent="0.25">
      <c r="A2" s="78"/>
      <c r="B2" s="475"/>
      <c r="C2" s="475"/>
      <c r="D2" s="475"/>
      <c r="E2" s="475"/>
      <c r="F2" s="475"/>
      <c r="G2" s="475"/>
      <c r="H2" s="475"/>
      <c r="I2" s="79"/>
      <c r="J2" s="78"/>
    </row>
    <row r="3" spans="1:10" x14ac:dyDescent="0.25">
      <c r="A3" s="78"/>
      <c r="B3" s="610"/>
      <c r="C3" s="2611" t="str">
        <f>Utility</f>
        <v>Cleveland Water Utility</v>
      </c>
      <c r="D3" s="2445"/>
      <c r="E3" s="2445"/>
      <c r="F3" s="2445"/>
      <c r="G3" s="2445"/>
      <c r="H3" s="2445"/>
      <c r="I3" s="78"/>
      <c r="J3" s="78"/>
    </row>
    <row r="4" spans="1:10" x14ac:dyDescent="0.25">
      <c r="A4" s="78"/>
      <c r="B4" s="770"/>
      <c r="C4" s="475"/>
      <c r="D4" s="610"/>
      <c r="E4" s="610"/>
      <c r="F4" s="610"/>
      <c r="G4" s="610"/>
      <c r="H4" s="610"/>
      <c r="I4" s="468"/>
      <c r="J4" s="78"/>
    </row>
    <row r="5" spans="1:10" ht="13.8" thickBot="1" x14ac:dyDescent="0.3">
      <c r="A5" s="78"/>
      <c r="B5" s="804"/>
      <c r="C5" s="2408" t="str">
        <f>CONCATENATE("Estimated for Test Year ",TestYear)</f>
        <v>Estimated for Test Year 2023</v>
      </c>
      <c r="D5" s="2569"/>
      <c r="E5" s="2569"/>
      <c r="F5" s="2569"/>
      <c r="G5" s="2569"/>
      <c r="H5" s="2569"/>
      <c r="I5" s="468"/>
      <c r="J5" s="78"/>
    </row>
    <row r="6" spans="1:10" ht="29.7" customHeight="1" thickTop="1" x14ac:dyDescent="0.25">
      <c r="A6" s="78"/>
      <c r="B6" s="805"/>
      <c r="C6" s="2475" t="s">
        <v>1356</v>
      </c>
      <c r="D6" s="2475"/>
      <c r="E6" s="2475"/>
      <c r="F6" s="2475"/>
      <c r="G6" s="2475"/>
      <c r="H6" s="2475"/>
      <c r="I6" s="226"/>
      <c r="J6" s="78"/>
    </row>
    <row r="7" spans="1:10" ht="27" customHeight="1" x14ac:dyDescent="0.25">
      <c r="A7" s="78"/>
      <c r="B7" s="2222"/>
      <c r="C7" s="2486" t="s">
        <v>1298</v>
      </c>
      <c r="D7" s="2486"/>
      <c r="E7" s="2486"/>
      <c r="F7" s="2486"/>
      <c r="G7" s="2486"/>
      <c r="H7" s="2486"/>
      <c r="I7" s="228"/>
      <c r="J7" s="78"/>
    </row>
    <row r="8" spans="1:10" x14ac:dyDescent="0.25">
      <c r="A8" s="78"/>
      <c r="B8" s="2222"/>
      <c r="C8" s="2486" t="s">
        <v>1299</v>
      </c>
      <c r="D8" s="2486"/>
      <c r="E8" s="2486"/>
      <c r="F8" s="2486"/>
      <c r="G8" s="2486"/>
      <c r="H8" s="2486"/>
      <c r="I8" s="228"/>
      <c r="J8" s="78"/>
    </row>
    <row r="9" spans="1:10" x14ac:dyDescent="0.25">
      <c r="A9" s="78"/>
      <c r="B9" s="2222"/>
      <c r="C9" s="2486" t="s">
        <v>1300</v>
      </c>
      <c r="D9" s="2486"/>
      <c r="E9" s="2486"/>
      <c r="F9" s="2486"/>
      <c r="G9" s="2486"/>
      <c r="H9" s="2486"/>
      <c r="I9" s="228"/>
      <c r="J9" s="78"/>
    </row>
    <row r="10" spans="1:10" ht="25.5" customHeight="1" x14ac:dyDescent="0.25">
      <c r="A10" s="78"/>
      <c r="B10" s="2222"/>
      <c r="C10" s="2486" t="s">
        <v>1362</v>
      </c>
      <c r="D10" s="2486"/>
      <c r="E10" s="2486"/>
      <c r="F10" s="2486"/>
      <c r="G10" s="2486"/>
      <c r="H10" s="2486"/>
      <c r="I10" s="228"/>
      <c r="J10" s="78"/>
    </row>
    <row r="11" spans="1:10" x14ac:dyDescent="0.25">
      <c r="A11" s="78"/>
      <c r="B11" s="2222"/>
      <c r="C11" s="2217"/>
      <c r="D11" s="2217"/>
      <c r="E11" s="2217"/>
      <c r="F11" s="2217"/>
      <c r="G11" s="2217"/>
      <c r="H11" s="2217"/>
      <c r="I11" s="228"/>
      <c r="J11" s="78"/>
    </row>
    <row r="12" spans="1:10" ht="13.8" x14ac:dyDescent="0.25">
      <c r="A12" s="78"/>
      <c r="B12" s="813"/>
      <c r="C12" s="814"/>
      <c r="D12" s="551"/>
      <c r="E12" s="551"/>
      <c r="F12" s="551"/>
      <c r="G12" s="542"/>
      <c r="H12" s="551"/>
      <c r="I12" s="807"/>
      <c r="J12" s="78"/>
    </row>
    <row r="13" spans="1:10" ht="13.8" x14ac:dyDescent="0.25">
      <c r="A13" s="78"/>
      <c r="B13" s="815" t="s">
        <v>251</v>
      </c>
      <c r="C13" s="486" t="s">
        <v>339</v>
      </c>
      <c r="D13" s="486"/>
      <c r="E13" s="486"/>
      <c r="F13" s="486"/>
      <c r="G13" s="816" t="s">
        <v>602</v>
      </c>
      <c r="H13" s="549">
        <f>Attach7!H54</f>
        <v>352535.77</v>
      </c>
      <c r="I13" s="228"/>
      <c r="J13" s="78"/>
    </row>
    <row r="14" spans="1:10" ht="13.8" x14ac:dyDescent="0.25">
      <c r="A14" s="78"/>
      <c r="B14" s="813"/>
      <c r="C14" s="486"/>
      <c r="D14" s="486"/>
      <c r="E14" s="486"/>
      <c r="F14" s="486"/>
      <c r="G14" s="816"/>
      <c r="H14" s="486"/>
      <c r="I14" s="228"/>
      <c r="J14" s="78"/>
    </row>
    <row r="15" spans="1:10" ht="13.8" x14ac:dyDescent="0.25">
      <c r="A15" s="78"/>
      <c r="B15" s="813"/>
      <c r="C15" s="486" t="s">
        <v>603</v>
      </c>
      <c r="D15" s="486"/>
      <c r="E15" s="486"/>
      <c r="F15" s="486"/>
      <c r="G15" s="816" t="s">
        <v>604</v>
      </c>
      <c r="H15" s="483">
        <f>IF(Class="AB",Attach10_AB!H110,IF(Class="C", Attach10_C!H86, Attach10_D!H36))</f>
        <v>276295</v>
      </c>
      <c r="I15" s="808"/>
      <c r="J15" s="802"/>
    </row>
    <row r="16" spans="1:10" ht="13.8" x14ac:dyDescent="0.25">
      <c r="A16" s="78"/>
      <c r="B16" s="813"/>
      <c r="C16" s="486" t="s">
        <v>605</v>
      </c>
      <c r="D16" s="486"/>
      <c r="E16" s="486"/>
      <c r="F16" s="486"/>
      <c r="G16" s="816" t="s">
        <v>586</v>
      </c>
      <c r="H16" s="817">
        <f>Attach12!O99</f>
        <v>70515</v>
      </c>
      <c r="I16" s="228"/>
      <c r="J16" s="78"/>
    </row>
    <row r="17" spans="1:10" ht="13.8" x14ac:dyDescent="0.25">
      <c r="A17" s="78"/>
      <c r="B17" s="813"/>
      <c r="C17" s="486" t="s">
        <v>857</v>
      </c>
      <c r="D17" s="486"/>
      <c r="E17" s="486"/>
      <c r="F17" s="486"/>
      <c r="G17" s="816"/>
      <c r="H17" s="1139">
        <v>0</v>
      </c>
      <c r="I17" s="228"/>
      <c r="J17" s="78"/>
    </row>
    <row r="18" spans="1:10" ht="13.8" x14ac:dyDescent="0.25">
      <c r="A18" s="78"/>
      <c r="B18" s="813"/>
      <c r="C18" s="486"/>
      <c r="D18" s="486"/>
      <c r="E18" s="486"/>
      <c r="F18" s="486"/>
      <c r="G18" s="816"/>
      <c r="H18" s="1140"/>
      <c r="I18" s="228"/>
      <c r="J18" s="78"/>
    </row>
    <row r="19" spans="1:10" ht="13.8" x14ac:dyDescent="0.25">
      <c r="A19" s="78"/>
      <c r="B19" s="813"/>
      <c r="C19" s="486" t="s">
        <v>606</v>
      </c>
      <c r="D19" s="486"/>
      <c r="E19" s="486"/>
      <c r="F19" s="486"/>
      <c r="G19" s="816" t="s">
        <v>607</v>
      </c>
      <c r="H19" s="818">
        <f>Attach8!I39</f>
        <v>41636</v>
      </c>
      <c r="I19" s="808"/>
      <c r="J19" s="522"/>
    </row>
    <row r="20" spans="1:10" ht="13.8" x14ac:dyDescent="0.25">
      <c r="A20" s="78"/>
      <c r="B20" s="813"/>
      <c r="C20" s="486" t="s">
        <v>608</v>
      </c>
      <c r="D20" s="486"/>
      <c r="E20" s="486"/>
      <c r="F20" s="486"/>
      <c r="G20" s="816"/>
      <c r="H20" s="549">
        <f>SUM(H15:H19)</f>
        <v>388446</v>
      </c>
      <c r="I20" s="808"/>
      <c r="J20" s="522"/>
    </row>
    <row r="21" spans="1:10" ht="13.8" x14ac:dyDescent="0.25">
      <c r="A21" s="78"/>
      <c r="B21" s="813"/>
      <c r="C21" s="486"/>
      <c r="D21" s="486"/>
      <c r="E21" s="486"/>
      <c r="F21" s="486"/>
      <c r="G21" s="816"/>
      <c r="H21" s="491" t="s">
        <v>609</v>
      </c>
      <c r="I21" s="809"/>
      <c r="J21" s="184"/>
    </row>
    <row r="22" spans="1:10" ht="14.4" thickBot="1" x14ac:dyDescent="0.3">
      <c r="A22" s="78"/>
      <c r="B22" s="813"/>
      <c r="C22" s="828" t="str">
        <f>CONCATENATE("Net Operating Income (Loss)-Test Year ",TestYear)</f>
        <v>Net Operating Income (Loss)-Test Year 2023</v>
      </c>
      <c r="D22" s="502"/>
      <c r="E22" s="486"/>
      <c r="F22" s="486"/>
      <c r="G22" s="816"/>
      <c r="H22" s="819">
        <f>H13-H20</f>
        <v>-35910.229999999981</v>
      </c>
      <c r="I22" s="808"/>
      <c r="J22" s="522"/>
    </row>
    <row r="23" spans="1:10" ht="14.4" thickTop="1" x14ac:dyDescent="0.25">
      <c r="A23" s="78"/>
      <c r="B23" s="820"/>
      <c r="C23" s="830"/>
      <c r="D23" s="830"/>
      <c r="E23" s="821"/>
      <c r="F23" s="821"/>
      <c r="G23" s="822"/>
      <c r="H23" s="693" t="s">
        <v>609</v>
      </c>
      <c r="I23" s="228"/>
      <c r="J23" s="180"/>
    </row>
    <row r="24" spans="1:10" ht="13.8" x14ac:dyDescent="0.25">
      <c r="A24" s="78"/>
      <c r="B24" s="813"/>
      <c r="C24" s="831"/>
      <c r="D24" s="832"/>
      <c r="E24" s="540"/>
      <c r="F24" s="540"/>
      <c r="G24" s="816"/>
      <c r="H24" s="540"/>
      <c r="I24" s="810"/>
      <c r="J24" s="78"/>
    </row>
    <row r="25" spans="1:10" ht="13.8" x14ac:dyDescent="0.25">
      <c r="A25" s="78"/>
      <c r="B25" s="813"/>
      <c r="C25" s="502"/>
      <c r="D25" s="502"/>
      <c r="E25" s="486"/>
      <c r="F25" s="486"/>
      <c r="G25" s="486"/>
      <c r="H25" s="486"/>
      <c r="I25" s="228"/>
      <c r="J25" s="78"/>
    </row>
    <row r="26" spans="1:10" ht="13.8" x14ac:dyDescent="0.25">
      <c r="A26" s="78"/>
      <c r="B26" s="815" t="s">
        <v>261</v>
      </c>
      <c r="C26" s="502" t="s">
        <v>610</v>
      </c>
      <c r="D26" s="502"/>
      <c r="E26" s="486"/>
      <c r="F26" s="486"/>
      <c r="G26" s="816"/>
      <c r="H26" s="486"/>
      <c r="I26" s="808"/>
      <c r="J26" s="522"/>
    </row>
    <row r="27" spans="1:10" ht="13.8" x14ac:dyDescent="0.25">
      <c r="A27" s="78"/>
      <c r="B27" s="813"/>
      <c r="C27" s="502"/>
      <c r="D27" s="502" t="s">
        <v>592</v>
      </c>
      <c r="E27" s="486"/>
      <c r="F27" s="486"/>
      <c r="G27" s="816" t="s">
        <v>611</v>
      </c>
      <c r="H27" s="483">
        <f>TestYearTotalPlant</f>
        <v>2688524</v>
      </c>
      <c r="I27" s="808"/>
      <c r="J27" s="522"/>
    </row>
    <row r="28" spans="1:10" ht="13.8" x14ac:dyDescent="0.25">
      <c r="A28" s="78"/>
      <c r="B28" s="813"/>
      <c r="C28" s="502"/>
      <c r="D28" s="502"/>
      <c r="E28" s="542"/>
      <c r="F28" s="486"/>
      <c r="G28" s="823"/>
      <c r="H28" s="541"/>
      <c r="I28" s="228"/>
      <c r="J28" s="180"/>
    </row>
    <row r="29" spans="1:10" ht="13.8" x14ac:dyDescent="0.25">
      <c r="A29" s="78"/>
      <c r="B29" s="813"/>
      <c r="C29" s="502" t="s">
        <v>612</v>
      </c>
      <c r="D29" s="502"/>
      <c r="E29" s="486"/>
      <c r="F29" s="486"/>
      <c r="G29" s="816"/>
      <c r="H29" s="486"/>
      <c r="I29" s="228"/>
      <c r="J29" s="78"/>
    </row>
    <row r="30" spans="1:10" ht="13.8" x14ac:dyDescent="0.25">
      <c r="A30" s="78"/>
      <c r="B30" s="813"/>
      <c r="C30" s="502"/>
      <c r="D30" s="833" t="s">
        <v>592</v>
      </c>
      <c r="E30" s="486"/>
      <c r="F30" s="540"/>
      <c r="G30" s="816" t="s">
        <v>613</v>
      </c>
      <c r="H30" s="487">
        <f>TestYearMatSup</f>
        <v>23500</v>
      </c>
      <c r="I30" s="228"/>
      <c r="J30" s="78"/>
    </row>
    <row r="31" spans="1:10" ht="13.8" x14ac:dyDescent="0.25">
      <c r="A31" s="78"/>
      <c r="B31" s="813"/>
      <c r="C31" s="502"/>
      <c r="D31" s="833"/>
      <c r="E31" s="542"/>
      <c r="F31" s="540"/>
      <c r="G31" s="824"/>
      <c r="H31" s="491"/>
      <c r="I31" s="228"/>
      <c r="J31" s="78"/>
    </row>
    <row r="32" spans="1:10" ht="13.8" x14ac:dyDescent="0.25">
      <c r="A32" s="78"/>
      <c r="B32" s="813"/>
      <c r="C32" s="502" t="s">
        <v>614</v>
      </c>
      <c r="D32" s="502"/>
      <c r="E32" s="486"/>
      <c r="F32" s="486"/>
      <c r="G32" s="816"/>
      <c r="H32" s="491"/>
      <c r="I32" s="228"/>
      <c r="J32" s="78"/>
    </row>
    <row r="33" spans="1:10" ht="13.8" x14ac:dyDescent="0.25">
      <c r="A33" s="78"/>
      <c r="B33" s="813"/>
      <c r="C33" s="502"/>
      <c r="D33" s="833" t="str">
        <f>D30</f>
        <v>Test Year Average Balance</v>
      </c>
      <c r="E33" s="486"/>
      <c r="F33" s="540"/>
      <c r="G33" s="816" t="s">
        <v>613</v>
      </c>
      <c r="H33" s="487">
        <f>TestYearTotDep</f>
        <v>951297</v>
      </c>
      <c r="I33" s="228"/>
      <c r="J33" s="78"/>
    </row>
    <row r="34" spans="1:10" ht="13.8" x14ac:dyDescent="0.25">
      <c r="A34" s="78"/>
      <c r="B34" s="813"/>
      <c r="C34" s="502"/>
      <c r="D34" s="833"/>
      <c r="E34" s="542"/>
      <c r="F34" s="540"/>
      <c r="G34" s="824"/>
      <c r="H34" s="491"/>
      <c r="I34" s="228"/>
      <c r="J34" s="78"/>
    </row>
    <row r="35" spans="1:10" ht="13.8" x14ac:dyDescent="0.25">
      <c r="A35" s="78"/>
      <c r="B35" s="813"/>
      <c r="C35" s="502" t="s">
        <v>615</v>
      </c>
      <c r="D35" s="502"/>
      <c r="E35" s="486"/>
      <c r="F35" s="486"/>
      <c r="G35" s="486"/>
      <c r="H35" s="486"/>
      <c r="I35" s="228"/>
      <c r="J35" s="78"/>
    </row>
    <row r="36" spans="1:10" ht="13.8" x14ac:dyDescent="0.25">
      <c r="A36" s="78"/>
      <c r="B36" s="813"/>
      <c r="C36" s="502"/>
      <c r="D36" s="833" t="str">
        <f>D33</f>
        <v>Test Year Average Balance</v>
      </c>
      <c r="E36" s="486"/>
      <c r="F36" s="486"/>
      <c r="G36" s="816" t="s">
        <v>613</v>
      </c>
      <c r="H36" s="488">
        <f>TestYearTotRegLiability</f>
        <v>2700</v>
      </c>
      <c r="I36" s="228"/>
      <c r="J36" s="78"/>
    </row>
    <row r="37" spans="1:10" ht="13.8" x14ac:dyDescent="0.25">
      <c r="A37" s="78"/>
      <c r="B37" s="813"/>
      <c r="C37" s="502"/>
      <c r="D37" s="833"/>
      <c r="E37" s="486"/>
      <c r="F37" s="542"/>
      <c r="G37" s="816"/>
      <c r="H37" s="491"/>
      <c r="I37" s="228"/>
      <c r="J37" s="78"/>
    </row>
    <row r="38" spans="1:10" ht="14.4" thickBot="1" x14ac:dyDescent="0.3">
      <c r="A38" s="78"/>
      <c r="B38" s="813"/>
      <c r="C38" s="828" t="s">
        <v>616</v>
      </c>
      <c r="D38" s="502"/>
      <c r="E38" s="486"/>
      <c r="F38" s="486"/>
      <c r="G38" s="486"/>
      <c r="H38" s="825">
        <f>ROUND(H27+H30-H33-H36,0)</f>
        <v>1758027</v>
      </c>
      <c r="I38" s="228"/>
      <c r="J38" s="78"/>
    </row>
    <row r="39" spans="1:10" ht="14.4" thickTop="1" x14ac:dyDescent="0.25">
      <c r="A39" s="78"/>
      <c r="B39" s="820"/>
      <c r="C39" s="830"/>
      <c r="D39" s="830"/>
      <c r="E39" s="821"/>
      <c r="F39" s="821"/>
      <c r="G39" s="821"/>
      <c r="H39" s="693" t="s">
        <v>609</v>
      </c>
      <c r="I39" s="228"/>
      <c r="J39" s="78"/>
    </row>
    <row r="40" spans="1:10" ht="13.8" x14ac:dyDescent="0.25">
      <c r="A40" s="78"/>
      <c r="B40" s="813"/>
      <c r="C40" s="831"/>
      <c r="D40" s="832"/>
      <c r="E40" s="540"/>
      <c r="F40" s="540"/>
      <c r="G40" s="540"/>
      <c r="H40" s="540"/>
      <c r="I40" s="810"/>
      <c r="J40" s="78"/>
    </row>
    <row r="41" spans="1:10" ht="13.8" x14ac:dyDescent="0.25">
      <c r="A41" s="78"/>
      <c r="B41" s="815" t="s">
        <v>617</v>
      </c>
      <c r="C41" s="502" t="s">
        <v>618</v>
      </c>
      <c r="D41" s="502"/>
      <c r="E41" s="486"/>
      <c r="F41" s="486"/>
      <c r="G41" s="542" t="s">
        <v>619</v>
      </c>
      <c r="H41" s="483">
        <f>H38</f>
        <v>1758027</v>
      </c>
      <c r="I41" s="228"/>
      <c r="J41" s="78"/>
    </row>
    <row r="42" spans="1:10" ht="13.8" x14ac:dyDescent="0.25">
      <c r="A42" s="78"/>
      <c r="B42" s="813"/>
      <c r="C42" s="828" t="s">
        <v>858</v>
      </c>
      <c r="D42" s="502"/>
      <c r="E42" s="486"/>
      <c r="F42" s="486"/>
      <c r="G42" s="486"/>
      <c r="H42" s="486"/>
      <c r="I42" s="811"/>
      <c r="J42" s="78"/>
    </row>
    <row r="43" spans="1:10" ht="13.8" x14ac:dyDescent="0.25">
      <c r="A43" s="78"/>
      <c r="B43" s="813"/>
      <c r="C43" s="502"/>
      <c r="D43" s="502" t="s">
        <v>620</v>
      </c>
      <c r="E43" s="486"/>
      <c r="F43" s="486"/>
      <c r="G43" s="2226">
        <v>7.1999999999999995E-2</v>
      </c>
      <c r="H43" s="829">
        <f>G43</f>
        <v>7.1999999999999995E-2</v>
      </c>
      <c r="I43" s="811"/>
      <c r="J43" s="78"/>
    </row>
    <row r="44" spans="1:10" ht="13.8" x14ac:dyDescent="0.25">
      <c r="A44" s="78"/>
      <c r="B44" s="813"/>
      <c r="C44" s="502"/>
      <c r="D44" s="502"/>
      <c r="E44" s="486"/>
      <c r="F44" s="486"/>
      <c r="G44" s="486"/>
      <c r="H44" s="827"/>
      <c r="I44" s="811"/>
      <c r="J44" s="78"/>
    </row>
    <row r="45" spans="1:10" ht="14.4" thickBot="1" x14ac:dyDescent="0.3">
      <c r="A45" s="78"/>
      <c r="B45" s="813"/>
      <c r="C45" s="502" t="s">
        <v>621</v>
      </c>
      <c r="D45" s="502"/>
      <c r="E45" s="486"/>
      <c r="F45" s="486"/>
      <c r="G45" s="540"/>
      <c r="H45" s="819">
        <f>ROUND(H41*H43,0)</f>
        <v>126578</v>
      </c>
      <c r="I45" s="807"/>
      <c r="J45" s="78"/>
    </row>
    <row r="46" spans="1:10" ht="14.4" thickTop="1" x14ac:dyDescent="0.25">
      <c r="A46" s="78"/>
      <c r="B46" s="813"/>
      <c r="C46" s="502"/>
      <c r="D46" s="502"/>
      <c r="E46" s="486"/>
      <c r="F46" s="486"/>
      <c r="G46" s="540"/>
      <c r="H46" s="541"/>
      <c r="I46" s="228"/>
      <c r="J46" s="78"/>
    </row>
    <row r="47" spans="1:10" ht="13.8" x14ac:dyDescent="0.25">
      <c r="A47" s="78"/>
      <c r="B47" s="813"/>
      <c r="C47" s="502" t="s">
        <v>603</v>
      </c>
      <c r="D47" s="502"/>
      <c r="E47" s="486"/>
      <c r="F47" s="486"/>
      <c r="G47" s="542" t="s">
        <v>622</v>
      </c>
      <c r="H47" s="483">
        <f>H15</f>
        <v>276295</v>
      </c>
      <c r="I47" s="808"/>
      <c r="J47" s="802"/>
    </row>
    <row r="48" spans="1:10" ht="13.8" x14ac:dyDescent="0.25">
      <c r="A48" s="78"/>
      <c r="B48" s="813"/>
      <c r="C48" s="512" t="s">
        <v>859</v>
      </c>
      <c r="D48" s="486"/>
      <c r="E48" s="486"/>
      <c r="F48" s="486"/>
      <c r="G48" s="540"/>
      <c r="H48" s="826">
        <v>0.06</v>
      </c>
      <c r="I48" s="811"/>
      <c r="J48" s="78"/>
    </row>
    <row r="49" spans="1:10" ht="14.4" thickBot="1" x14ac:dyDescent="0.3">
      <c r="A49" s="78"/>
      <c r="B49" s="813"/>
      <c r="C49" s="486" t="s">
        <v>623</v>
      </c>
      <c r="D49" s="486"/>
      <c r="E49" s="486"/>
      <c r="F49" s="486"/>
      <c r="G49" s="486"/>
      <c r="H49" s="819">
        <f>ROUND(H47*H48,0)</f>
        <v>16578</v>
      </c>
      <c r="I49" s="807"/>
      <c r="J49" s="78"/>
    </row>
    <row r="50" spans="1:10" ht="14.4" thickTop="1" x14ac:dyDescent="0.25">
      <c r="A50" s="78"/>
      <c r="B50" s="813"/>
      <c r="C50" s="486"/>
      <c r="D50" s="486"/>
      <c r="E50" s="486"/>
      <c r="F50" s="486"/>
      <c r="G50" s="486"/>
      <c r="H50" s="541"/>
      <c r="I50" s="228"/>
      <c r="J50" s="78"/>
    </row>
    <row r="51" spans="1:10" ht="13.8" x14ac:dyDescent="0.25">
      <c r="A51" s="78"/>
      <c r="B51" s="813"/>
      <c r="C51" s="512" t="s">
        <v>624</v>
      </c>
      <c r="D51" s="486"/>
      <c r="E51" s="486"/>
      <c r="F51" s="486"/>
      <c r="G51" s="486"/>
      <c r="H51" s="486"/>
      <c r="I51" s="228"/>
      <c r="J51" s="78"/>
    </row>
    <row r="52" spans="1:10" ht="13.8" x14ac:dyDescent="0.25">
      <c r="A52" s="78"/>
      <c r="B52" s="813"/>
      <c r="C52" s="486" t="s">
        <v>860</v>
      </c>
      <c r="D52" s="486"/>
      <c r="E52" s="486"/>
      <c r="F52" s="486"/>
      <c r="G52" s="486"/>
      <c r="H52" s="483">
        <f>IF(H45&gt;H49,H45,H49)</f>
        <v>126578</v>
      </c>
      <c r="I52" s="228"/>
      <c r="J52" s="78"/>
    </row>
    <row r="53" spans="1:10" ht="13.8" x14ac:dyDescent="0.25">
      <c r="A53" s="78"/>
      <c r="B53" s="813"/>
      <c r="C53" s="486"/>
      <c r="D53" s="486"/>
      <c r="E53" s="486"/>
      <c r="F53" s="486"/>
      <c r="G53" s="486"/>
      <c r="H53" s="541"/>
      <c r="I53" s="228"/>
      <c r="J53" s="78"/>
    </row>
    <row r="54" spans="1:10" ht="15" customHeight="1" x14ac:dyDescent="0.25">
      <c r="A54" s="78"/>
      <c r="B54" s="813"/>
      <c r="C54" s="486" t="s">
        <v>625</v>
      </c>
      <c r="D54" s="486"/>
      <c r="E54" s="486"/>
      <c r="F54" s="486"/>
      <c r="G54" s="542" t="s">
        <v>622</v>
      </c>
      <c r="H54" s="818">
        <f>H22</f>
        <v>-35910.229999999981</v>
      </c>
      <c r="I54" s="228"/>
      <c r="J54" s="78"/>
    </row>
    <row r="55" spans="1:10" ht="13.8" x14ac:dyDescent="0.25">
      <c r="A55" s="78"/>
      <c r="B55" s="813"/>
      <c r="C55" s="486"/>
      <c r="D55" s="486"/>
      <c r="E55" s="486"/>
      <c r="F55" s="486"/>
      <c r="G55" s="486"/>
      <c r="H55" s="491" t="s">
        <v>609</v>
      </c>
      <c r="I55" s="228"/>
      <c r="J55" s="78"/>
    </row>
    <row r="56" spans="1:10" ht="14.4" thickBot="1" x14ac:dyDescent="0.3">
      <c r="A56" s="78"/>
      <c r="B56" s="813"/>
      <c r="C56" s="828" t="str">
        <f>CONCATENATE("Increase Requested-Test Year ",TestYear)</f>
        <v>Increase Requested-Test Year 2023</v>
      </c>
      <c r="D56" s="486"/>
      <c r="E56" s="486"/>
      <c r="F56" s="486"/>
      <c r="G56" s="486"/>
      <c r="H56" s="819">
        <f>H52-H54</f>
        <v>162488.22999999998</v>
      </c>
      <c r="I56" s="228"/>
      <c r="J56" s="78"/>
    </row>
    <row r="57" spans="1:10" ht="15" thickTop="1" thickBot="1" x14ac:dyDescent="0.3">
      <c r="A57" s="78"/>
      <c r="B57" s="813"/>
      <c r="C57" s="486"/>
      <c r="D57" s="486" t="s">
        <v>626</v>
      </c>
      <c r="E57" s="486"/>
      <c r="F57" s="486"/>
      <c r="G57" s="486"/>
      <c r="H57" s="540"/>
      <c r="I57" s="228"/>
      <c r="J57" s="78"/>
    </row>
    <row r="58" spans="1:10" ht="14.4" thickBot="1" x14ac:dyDescent="0.3">
      <c r="A58" s="78"/>
      <c r="B58" s="813"/>
      <c r="C58" s="486"/>
      <c r="D58" s="486" t="s">
        <v>864</v>
      </c>
      <c r="E58" s="486"/>
      <c r="F58" s="486"/>
      <c r="G58" s="1618">
        <f>IF(Attach7!H42&lt;&gt;0,H56/Attach7!H42,0)</f>
        <v>0.46754390202769625</v>
      </c>
      <c r="H58" s="486"/>
      <c r="I58" s="812"/>
      <c r="J58" s="803"/>
    </row>
    <row r="59" spans="1:10" x14ac:dyDescent="0.25">
      <c r="A59" s="78"/>
      <c r="B59" s="530"/>
      <c r="C59" s="477"/>
      <c r="D59" s="477"/>
      <c r="E59" s="477"/>
      <c r="F59" s="477"/>
      <c r="G59" s="477"/>
      <c r="H59" s="477"/>
      <c r="I59" s="228"/>
      <c r="J59" s="78"/>
    </row>
    <row r="60" spans="1:10" x14ac:dyDescent="0.25">
      <c r="A60" s="78"/>
      <c r="B60" s="229"/>
      <c r="C60" s="205"/>
      <c r="D60" s="205"/>
      <c r="E60" s="205"/>
      <c r="F60" s="205"/>
      <c r="G60" s="205"/>
      <c r="H60" s="205"/>
      <c r="I60" s="228"/>
      <c r="J60" s="78"/>
    </row>
    <row r="61" spans="1:10" x14ac:dyDescent="0.25">
      <c r="A61" s="78"/>
      <c r="B61" s="229"/>
      <c r="C61" s="205"/>
      <c r="D61" s="205"/>
      <c r="E61" s="205"/>
      <c r="F61" s="205"/>
      <c r="G61" s="205"/>
      <c r="H61" s="205"/>
      <c r="I61" s="228"/>
      <c r="J61" s="78"/>
    </row>
    <row r="62" spans="1:10" x14ac:dyDescent="0.25">
      <c r="A62" s="78"/>
      <c r="B62" s="229"/>
      <c r="C62" s="205"/>
      <c r="D62" s="205"/>
      <c r="E62" s="205"/>
      <c r="F62" s="205"/>
      <c r="G62" s="205"/>
      <c r="H62" s="205"/>
      <c r="I62" s="228"/>
      <c r="J62" s="78"/>
    </row>
    <row r="63" spans="1:10" x14ac:dyDescent="0.25">
      <c r="A63" s="78"/>
      <c r="B63" s="229"/>
      <c r="C63" s="205"/>
      <c r="D63" s="205"/>
      <c r="E63" s="205"/>
      <c r="F63" s="205"/>
      <c r="G63" s="205"/>
      <c r="H63" s="205"/>
      <c r="I63" s="228"/>
      <c r="J63" s="78"/>
    </row>
    <row r="64" spans="1:10" ht="13.8" thickBot="1" x14ac:dyDescent="0.3">
      <c r="A64" s="78"/>
      <c r="B64" s="230"/>
      <c r="C64" s="231"/>
      <c r="D64" s="231"/>
      <c r="E64" s="231"/>
      <c r="F64" s="231"/>
      <c r="G64" s="231"/>
      <c r="H64" s="231"/>
      <c r="I64" s="232"/>
      <c r="J64" s="78"/>
    </row>
    <row r="65" spans="1:10" ht="13.8" thickTop="1" x14ac:dyDescent="0.25">
      <c r="A65" s="78"/>
      <c r="B65" s="78"/>
      <c r="C65" s="78"/>
      <c r="D65" s="78"/>
      <c r="E65" s="78"/>
      <c r="F65" s="78"/>
      <c r="G65" s="78"/>
      <c r="H65" s="78"/>
      <c r="I65" s="78"/>
      <c r="J65" s="78"/>
    </row>
    <row r="66" spans="1:10" x14ac:dyDescent="0.25">
      <c r="A66" s="78"/>
      <c r="B66" s="2593" t="s">
        <v>1232</v>
      </c>
      <c r="C66" s="2594"/>
      <c r="D66" s="2594"/>
      <c r="E66" s="2594"/>
      <c r="F66" s="2594"/>
      <c r="G66" s="2594"/>
      <c r="H66" s="2594"/>
      <c r="I66" s="2595"/>
      <c r="J66" s="78"/>
    </row>
    <row r="67" spans="1:10" x14ac:dyDescent="0.25">
      <c r="A67" s="78"/>
      <c r="B67" s="2359"/>
      <c r="C67" s="2360"/>
      <c r="D67" s="2360"/>
      <c r="E67" s="2360"/>
      <c r="F67" s="2360"/>
      <c r="G67" s="2360"/>
      <c r="H67" s="2360"/>
      <c r="I67" s="2361"/>
      <c r="J67" s="78"/>
    </row>
    <row r="68" spans="1:10" x14ac:dyDescent="0.25">
      <c r="A68" s="78"/>
      <c r="B68" s="1765"/>
      <c r="C68" s="2596"/>
      <c r="D68" s="2597"/>
      <c r="E68" s="2597"/>
      <c r="F68" s="2597"/>
      <c r="G68" s="2597"/>
      <c r="H68" s="2598"/>
      <c r="I68" s="1754"/>
      <c r="J68" s="78"/>
    </row>
    <row r="69" spans="1:10" x14ac:dyDescent="0.25">
      <c r="A69" s="78"/>
      <c r="B69" s="1765"/>
      <c r="C69" s="2599"/>
      <c r="D69" s="2511"/>
      <c r="E69" s="2511"/>
      <c r="F69" s="2511"/>
      <c r="G69" s="2511"/>
      <c r="H69" s="2600"/>
      <c r="I69" s="1754"/>
      <c r="J69" s="78"/>
    </row>
    <row r="70" spans="1:10" x14ac:dyDescent="0.25">
      <c r="A70" s="78"/>
      <c r="B70" s="1765"/>
      <c r="C70" s="2599"/>
      <c r="D70" s="2511"/>
      <c r="E70" s="2511"/>
      <c r="F70" s="2511"/>
      <c r="G70" s="2511"/>
      <c r="H70" s="2600"/>
      <c r="I70" s="1754"/>
      <c r="J70" s="78"/>
    </row>
    <row r="71" spans="1:10" x14ac:dyDescent="0.25">
      <c r="A71" s="78"/>
      <c r="B71" s="1765"/>
      <c r="C71" s="2599"/>
      <c r="D71" s="2511"/>
      <c r="E71" s="2511"/>
      <c r="F71" s="2511"/>
      <c r="G71" s="2511"/>
      <c r="H71" s="2600"/>
      <c r="I71" s="1754"/>
      <c r="J71" s="78"/>
    </row>
    <row r="72" spans="1:10" x14ac:dyDescent="0.25">
      <c r="A72" s="78"/>
      <c r="B72" s="1765"/>
      <c r="C72" s="2599"/>
      <c r="D72" s="2511"/>
      <c r="E72" s="2511"/>
      <c r="F72" s="2511"/>
      <c r="G72" s="2511"/>
      <c r="H72" s="2600"/>
      <c r="I72" s="1754"/>
      <c r="J72" s="78"/>
    </row>
    <row r="73" spans="1:10" x14ac:dyDescent="0.25">
      <c r="A73" s="78"/>
      <c r="B73" s="1765"/>
      <c r="C73" s="2599"/>
      <c r="D73" s="2511"/>
      <c r="E73" s="2511"/>
      <c r="F73" s="2511"/>
      <c r="G73" s="2511"/>
      <c r="H73" s="2600"/>
      <c r="I73" s="1754"/>
      <c r="J73" s="78"/>
    </row>
    <row r="74" spans="1:10" x14ac:dyDescent="0.25">
      <c r="A74" s="78"/>
      <c r="B74" s="1765"/>
      <c r="C74" s="2599"/>
      <c r="D74" s="2511"/>
      <c r="E74" s="2511"/>
      <c r="F74" s="2511"/>
      <c r="G74" s="2511"/>
      <c r="H74" s="2600"/>
      <c r="I74" s="1754"/>
      <c r="J74" s="78"/>
    </row>
    <row r="75" spans="1:10" x14ac:dyDescent="0.25">
      <c r="A75" s="78"/>
      <c r="B75" s="1765"/>
      <c r="C75" s="2599"/>
      <c r="D75" s="2511"/>
      <c r="E75" s="2511"/>
      <c r="F75" s="2511"/>
      <c r="G75" s="2511"/>
      <c r="H75" s="2600"/>
      <c r="I75" s="1754"/>
      <c r="J75" s="78"/>
    </row>
    <row r="76" spans="1:10" x14ac:dyDescent="0.25">
      <c r="A76" s="78"/>
      <c r="B76" s="1765"/>
      <c r="C76" s="2599"/>
      <c r="D76" s="2511"/>
      <c r="E76" s="2511"/>
      <c r="F76" s="2511"/>
      <c r="G76" s="2511"/>
      <c r="H76" s="2600"/>
      <c r="I76" s="1754"/>
      <c r="J76" s="78"/>
    </row>
    <row r="77" spans="1:10" x14ac:dyDescent="0.25">
      <c r="A77" s="78"/>
      <c r="B77" s="1765"/>
      <c r="C77" s="2599"/>
      <c r="D77" s="2511"/>
      <c r="E77" s="2511"/>
      <c r="F77" s="2511"/>
      <c r="G77" s="2511"/>
      <c r="H77" s="2600"/>
      <c r="I77" s="1754"/>
      <c r="J77" s="78"/>
    </row>
    <row r="78" spans="1:10" x14ac:dyDescent="0.25">
      <c r="A78" s="78"/>
      <c r="B78" s="1765"/>
      <c r="C78" s="2599"/>
      <c r="D78" s="2511"/>
      <c r="E78" s="2511"/>
      <c r="F78" s="2511"/>
      <c r="G78" s="2511"/>
      <c r="H78" s="2600"/>
      <c r="I78" s="1754"/>
      <c r="J78" s="78"/>
    </row>
    <row r="79" spans="1:10" x14ac:dyDescent="0.25">
      <c r="A79" s="78"/>
      <c r="B79" s="1765"/>
      <c r="C79" s="2599"/>
      <c r="D79" s="2511"/>
      <c r="E79" s="2511"/>
      <c r="F79" s="2511"/>
      <c r="G79" s="2511"/>
      <c r="H79" s="2600"/>
      <c r="I79" s="1754"/>
      <c r="J79" s="78"/>
    </row>
    <row r="80" spans="1:10" x14ac:dyDescent="0.25">
      <c r="A80" s="78"/>
      <c r="B80" s="1765"/>
      <c r="C80" s="2601"/>
      <c r="D80" s="2602"/>
      <c r="E80" s="2602"/>
      <c r="F80" s="2602"/>
      <c r="G80" s="2602"/>
      <c r="H80" s="2603"/>
      <c r="I80" s="1754"/>
      <c r="J80" s="78"/>
    </row>
    <row r="81" spans="1:10" x14ac:dyDescent="0.25">
      <c r="A81" s="78"/>
      <c r="B81" s="1765"/>
      <c r="C81" s="205"/>
      <c r="D81" s="205"/>
      <c r="E81" s="205"/>
      <c r="F81" s="205"/>
      <c r="G81" s="205"/>
      <c r="H81" s="205"/>
      <c r="I81" s="1754"/>
      <c r="J81" s="78"/>
    </row>
    <row r="82" spans="1:10" x14ac:dyDescent="0.25">
      <c r="A82" s="78"/>
      <c r="B82" s="1768"/>
      <c r="C82" s="1279"/>
      <c r="D82" s="1279"/>
      <c r="E82" s="1279"/>
      <c r="F82" s="1279"/>
      <c r="G82" s="1279"/>
      <c r="H82" s="1279"/>
      <c r="I82" s="1769"/>
      <c r="J82" s="78"/>
    </row>
    <row r="83" spans="1:10" x14ac:dyDescent="0.25">
      <c r="A83" s="78"/>
      <c r="B83" s="78"/>
      <c r="C83" s="78"/>
      <c r="D83" s="78"/>
      <c r="E83" s="78"/>
      <c r="F83" s="78"/>
      <c r="G83" s="78"/>
      <c r="H83" s="78"/>
      <c r="I83" s="78"/>
      <c r="J83" s="78"/>
    </row>
    <row r="84" spans="1:10" x14ac:dyDescent="0.25">
      <c r="A84" s="78"/>
      <c r="B84" s="78"/>
      <c r="C84" s="78"/>
      <c r="D84" s="78"/>
      <c r="E84" s="78"/>
      <c r="F84" s="78"/>
      <c r="G84" s="78"/>
      <c r="H84" s="78"/>
      <c r="I84" s="78"/>
      <c r="J84" s="78"/>
    </row>
    <row r="85" spans="1:10" x14ac:dyDescent="0.25">
      <c r="A85" s="78"/>
      <c r="B85" s="78"/>
      <c r="C85" s="78"/>
      <c r="D85" s="78"/>
      <c r="E85" s="78"/>
      <c r="F85" s="78"/>
      <c r="G85" s="78"/>
      <c r="H85" s="78"/>
      <c r="I85" s="78"/>
      <c r="J85" s="78"/>
    </row>
    <row r="86" spans="1:10" x14ac:dyDescent="0.25">
      <c r="A86" s="78"/>
      <c r="B86" s="78"/>
      <c r="C86" s="78"/>
      <c r="D86" s="78"/>
      <c r="E86" s="78"/>
      <c r="F86" s="78"/>
      <c r="G86" s="78"/>
      <c r="H86" s="78"/>
      <c r="I86" s="78"/>
      <c r="J86" s="78"/>
    </row>
    <row r="87" spans="1:10" x14ac:dyDescent="0.25">
      <c r="A87" s="78"/>
      <c r="B87" s="78"/>
      <c r="C87" s="78"/>
      <c r="D87" s="78"/>
      <c r="E87" s="78"/>
      <c r="F87" s="78"/>
      <c r="G87" s="78"/>
      <c r="H87" s="78"/>
      <c r="I87" s="78"/>
      <c r="J87" s="78"/>
    </row>
    <row r="88" spans="1:10" x14ac:dyDescent="0.25">
      <c r="A88" s="1708"/>
      <c r="B88" s="1708"/>
      <c r="C88" s="1708"/>
      <c r="D88" s="1708"/>
      <c r="E88" s="1708"/>
      <c r="F88" s="1708"/>
      <c r="G88" s="1708"/>
      <c r="H88" s="1708"/>
      <c r="I88" s="1708"/>
      <c r="J88" s="1708"/>
    </row>
    <row r="89" spans="1:10" x14ac:dyDescent="0.25">
      <c r="A89" s="1708"/>
      <c r="B89" s="1708"/>
      <c r="C89" s="1708"/>
      <c r="D89" s="1708"/>
      <c r="E89" s="1708"/>
      <c r="F89" s="1708"/>
      <c r="G89" s="1708"/>
      <c r="H89" s="1708"/>
      <c r="I89" s="1708"/>
      <c r="J89" s="1708"/>
    </row>
    <row r="90" spans="1:10" x14ac:dyDescent="0.25">
      <c r="A90" s="1708"/>
      <c r="B90" s="1708"/>
      <c r="C90" s="1708"/>
      <c r="D90" s="1708"/>
      <c r="E90" s="1708"/>
      <c r="F90" s="1708"/>
      <c r="G90" s="1708"/>
      <c r="H90" s="1708"/>
      <c r="I90" s="1708"/>
      <c r="J90" s="1708"/>
    </row>
    <row r="91" spans="1:10" x14ac:dyDescent="0.25">
      <c r="A91" s="1708"/>
      <c r="B91" s="1708"/>
      <c r="C91" s="1708"/>
      <c r="D91" s="1708"/>
      <c r="E91" s="1708"/>
      <c r="F91" s="1708"/>
      <c r="G91" s="1708"/>
      <c r="H91" s="1708"/>
      <c r="I91" s="1708"/>
      <c r="J91" s="1708"/>
    </row>
    <row r="92" spans="1:10" x14ac:dyDescent="0.25">
      <c r="A92" s="1708"/>
      <c r="B92" s="1708"/>
      <c r="C92" s="1708"/>
      <c r="D92" s="1708"/>
      <c r="E92" s="1708"/>
      <c r="F92" s="1708"/>
      <c r="G92" s="1708"/>
      <c r="H92" s="1708"/>
      <c r="I92" s="1708"/>
      <c r="J92" s="1708"/>
    </row>
    <row r="93" spans="1:10" x14ac:dyDescent="0.25">
      <c r="A93" s="1708"/>
      <c r="B93" s="1708"/>
      <c r="C93" s="1708"/>
      <c r="D93" s="1708"/>
      <c r="E93" s="1708"/>
      <c r="F93" s="1708"/>
      <c r="G93" s="1708"/>
      <c r="H93" s="1708"/>
      <c r="I93" s="1708"/>
      <c r="J93" s="1708"/>
    </row>
    <row r="94" spans="1:10" x14ac:dyDescent="0.25">
      <c r="A94" s="1708"/>
      <c r="B94" s="1708"/>
      <c r="C94" s="1708"/>
      <c r="D94" s="1708"/>
      <c r="E94" s="1708"/>
      <c r="F94" s="1708"/>
      <c r="G94" s="1708"/>
      <c r="H94" s="1708"/>
      <c r="I94" s="1708"/>
      <c r="J94" s="1708"/>
    </row>
    <row r="95" spans="1:10" x14ac:dyDescent="0.25">
      <c r="A95" s="1708"/>
      <c r="B95" s="1708"/>
      <c r="C95" s="1708"/>
      <c r="D95" s="1708"/>
      <c r="E95" s="1708"/>
      <c r="F95" s="1708"/>
      <c r="G95" s="1708"/>
      <c r="H95" s="1708"/>
      <c r="I95" s="1708"/>
      <c r="J95" s="1708"/>
    </row>
    <row r="96" spans="1:10" x14ac:dyDescent="0.25">
      <c r="A96" s="1708"/>
      <c r="B96" s="1708"/>
      <c r="C96" s="1708"/>
      <c r="D96" s="1708"/>
      <c r="E96" s="1708"/>
      <c r="F96" s="1708"/>
      <c r="G96" s="1708"/>
      <c r="H96" s="1708"/>
      <c r="I96" s="1708"/>
      <c r="J96" s="1708"/>
    </row>
    <row r="97" spans="1:10" x14ac:dyDescent="0.25">
      <c r="A97" s="1708"/>
      <c r="B97" s="1708"/>
      <c r="C97" s="1708"/>
      <c r="D97" s="1708"/>
      <c r="E97" s="1708"/>
      <c r="F97" s="1708"/>
      <c r="G97" s="1708"/>
      <c r="H97" s="1708"/>
      <c r="I97" s="1708"/>
      <c r="J97" s="1708"/>
    </row>
    <row r="98" spans="1:10" x14ac:dyDescent="0.25">
      <c r="A98" s="1708"/>
      <c r="B98" s="1708"/>
      <c r="C98" s="1708"/>
      <c r="D98" s="1708"/>
      <c r="E98" s="1708"/>
      <c r="F98" s="1708"/>
      <c r="G98" s="1708"/>
      <c r="H98" s="1708"/>
      <c r="I98" s="1708"/>
      <c r="J98" s="1708"/>
    </row>
    <row r="99" spans="1:10" x14ac:dyDescent="0.25">
      <c r="A99" s="1708"/>
      <c r="B99" s="1708"/>
      <c r="C99" s="1708"/>
      <c r="D99" s="1708"/>
      <c r="E99" s="1708"/>
      <c r="F99" s="1708"/>
      <c r="G99" s="1708"/>
      <c r="H99" s="1708"/>
      <c r="I99" s="1708"/>
      <c r="J99" s="1708"/>
    </row>
    <row r="100" spans="1:10" x14ac:dyDescent="0.25">
      <c r="A100" s="1708"/>
      <c r="B100" s="1708"/>
      <c r="C100" s="1708"/>
      <c r="D100" s="1708"/>
      <c r="E100" s="1708"/>
      <c r="F100" s="1708"/>
      <c r="G100" s="1708"/>
      <c r="H100" s="1708"/>
      <c r="I100" s="1708"/>
      <c r="J100" s="1708"/>
    </row>
    <row r="101" spans="1:10" x14ac:dyDescent="0.25">
      <c r="A101" s="1708"/>
      <c r="B101" s="1708"/>
      <c r="C101" s="1708"/>
      <c r="D101" s="1708"/>
      <c r="E101" s="1708"/>
      <c r="F101" s="1708"/>
      <c r="G101" s="1708"/>
      <c r="H101" s="1708"/>
      <c r="I101" s="1708"/>
      <c r="J101" s="1708"/>
    </row>
    <row r="102" spans="1:10" x14ac:dyDescent="0.25">
      <c r="A102" s="1708"/>
      <c r="B102" s="1708"/>
      <c r="C102" s="1708"/>
      <c r="D102" s="1708"/>
      <c r="E102" s="1708"/>
      <c r="F102" s="1708"/>
      <c r="G102" s="1708"/>
      <c r="H102" s="1708"/>
      <c r="I102" s="1708"/>
      <c r="J102" s="1708"/>
    </row>
    <row r="103" spans="1:10" x14ac:dyDescent="0.25">
      <c r="A103" s="1708"/>
      <c r="B103" s="1708"/>
      <c r="C103" s="1708"/>
      <c r="D103" s="1708"/>
      <c r="E103" s="1708"/>
      <c r="F103" s="1708"/>
      <c r="G103" s="1708"/>
      <c r="H103" s="1708"/>
      <c r="I103" s="1708"/>
      <c r="J103" s="1708"/>
    </row>
    <row r="104" spans="1:10" x14ac:dyDescent="0.25">
      <c r="A104" s="1708"/>
      <c r="B104" s="1708"/>
      <c r="C104" s="1708"/>
      <c r="D104" s="1708"/>
      <c r="E104" s="1708"/>
      <c r="F104" s="1708"/>
      <c r="G104" s="1708"/>
      <c r="H104" s="1708"/>
      <c r="I104" s="1708"/>
      <c r="J104" s="1708"/>
    </row>
    <row r="105" spans="1:10" x14ac:dyDescent="0.25">
      <c r="A105" s="1708"/>
      <c r="B105" s="1708"/>
      <c r="C105" s="1708"/>
      <c r="D105" s="1708"/>
      <c r="E105" s="1708"/>
      <c r="F105" s="1708"/>
      <c r="G105" s="1708"/>
      <c r="H105" s="1708"/>
      <c r="I105" s="1708"/>
      <c r="J105" s="1708"/>
    </row>
    <row r="106" spans="1:10" x14ac:dyDescent="0.25">
      <c r="A106" s="1708"/>
      <c r="B106" s="1708"/>
      <c r="C106" s="1708"/>
      <c r="D106" s="1708"/>
      <c r="E106" s="1708"/>
      <c r="F106" s="1708"/>
      <c r="G106" s="1708"/>
      <c r="H106" s="1708"/>
      <c r="I106" s="1708"/>
      <c r="J106" s="1708"/>
    </row>
    <row r="107" spans="1:10" x14ac:dyDescent="0.25">
      <c r="A107" s="1708"/>
      <c r="B107" s="1708"/>
      <c r="C107" s="1708"/>
      <c r="D107" s="1708"/>
      <c r="E107" s="1708"/>
      <c r="F107" s="1708"/>
      <c r="G107" s="1708"/>
      <c r="H107" s="1708"/>
      <c r="I107" s="1708"/>
      <c r="J107" s="1708"/>
    </row>
    <row r="108" spans="1:10" x14ac:dyDescent="0.25">
      <c r="A108" s="1708"/>
      <c r="B108" s="1708"/>
      <c r="C108" s="1708"/>
      <c r="D108" s="1708"/>
      <c r="E108" s="1708"/>
      <c r="F108" s="1708"/>
      <c r="G108" s="1708"/>
      <c r="H108" s="1708"/>
      <c r="I108" s="1708"/>
      <c r="J108" s="1708"/>
    </row>
    <row r="109" spans="1:10" x14ac:dyDescent="0.25">
      <c r="A109" s="1708"/>
      <c r="B109" s="1708"/>
      <c r="C109" s="1708"/>
      <c r="D109" s="1708"/>
      <c r="E109" s="1708"/>
      <c r="F109" s="1708"/>
      <c r="G109" s="1708"/>
      <c r="H109" s="1708"/>
      <c r="I109" s="1708"/>
      <c r="J109" s="1708"/>
    </row>
    <row r="110" spans="1:10" x14ac:dyDescent="0.25">
      <c r="A110" s="1708"/>
      <c r="B110" s="1708"/>
      <c r="C110" s="1708"/>
      <c r="D110" s="1708"/>
      <c r="E110" s="1708"/>
      <c r="F110" s="1708"/>
      <c r="G110" s="1708"/>
      <c r="H110" s="1708"/>
      <c r="I110" s="1708"/>
      <c r="J110" s="1708"/>
    </row>
    <row r="111" spans="1:10" x14ac:dyDescent="0.25">
      <c r="A111" s="1708"/>
      <c r="B111" s="1708"/>
      <c r="C111" s="1708"/>
      <c r="D111" s="1708"/>
      <c r="E111" s="1708"/>
      <c r="F111" s="1708"/>
      <c r="G111" s="1708"/>
      <c r="H111" s="1708"/>
      <c r="I111" s="1708"/>
      <c r="J111" s="1708"/>
    </row>
    <row r="112" spans="1:10" x14ac:dyDescent="0.25">
      <c r="A112" s="1708"/>
      <c r="B112" s="1708"/>
      <c r="C112" s="1708"/>
      <c r="D112" s="1708"/>
      <c r="E112" s="1708"/>
      <c r="F112" s="1708"/>
      <c r="G112" s="1708"/>
      <c r="H112" s="1708"/>
      <c r="I112" s="1708"/>
      <c r="J112" s="1708"/>
    </row>
    <row r="113" spans="1:10" x14ac:dyDescent="0.25">
      <c r="A113" s="1708"/>
      <c r="B113" s="1708"/>
      <c r="C113" s="1708"/>
      <c r="D113" s="1708"/>
      <c r="E113" s="1708"/>
      <c r="F113" s="1708"/>
      <c r="G113" s="1708"/>
      <c r="H113" s="1708"/>
      <c r="I113" s="1708"/>
      <c r="J113" s="1708"/>
    </row>
    <row r="114" spans="1:10" x14ac:dyDescent="0.25">
      <c r="A114" s="1708"/>
      <c r="B114" s="1708"/>
      <c r="C114" s="1708"/>
      <c r="D114" s="1708"/>
      <c r="E114" s="1708"/>
      <c r="F114" s="1708"/>
      <c r="G114" s="1708"/>
      <c r="H114" s="1708"/>
      <c r="I114" s="1708"/>
      <c r="J114" s="1708"/>
    </row>
    <row r="115" spans="1:10" x14ac:dyDescent="0.25">
      <c r="A115" s="1708"/>
      <c r="B115" s="1708"/>
      <c r="C115" s="1708"/>
      <c r="D115" s="1708"/>
      <c r="E115" s="1708"/>
      <c r="F115" s="1708"/>
      <c r="G115" s="1708"/>
      <c r="H115" s="1708"/>
      <c r="I115" s="1708"/>
      <c r="J115" s="1708"/>
    </row>
    <row r="116" spans="1:10" x14ac:dyDescent="0.25">
      <c r="A116" s="1708"/>
      <c r="B116" s="1708"/>
      <c r="C116" s="1708"/>
      <c r="D116" s="1708"/>
      <c r="E116" s="1708"/>
      <c r="F116" s="1708"/>
      <c r="G116" s="1708"/>
      <c r="H116" s="1708"/>
      <c r="I116" s="1708"/>
      <c r="J116" s="1708"/>
    </row>
    <row r="117" spans="1:10" x14ac:dyDescent="0.25">
      <c r="A117" s="1708"/>
      <c r="B117" s="1708"/>
      <c r="C117" s="1708"/>
      <c r="D117" s="1708"/>
      <c r="E117" s="1708"/>
      <c r="F117" s="1708"/>
      <c r="G117" s="1708"/>
      <c r="H117" s="1708"/>
      <c r="I117" s="1708"/>
      <c r="J117" s="1708"/>
    </row>
    <row r="118" spans="1:10" x14ac:dyDescent="0.25">
      <c r="A118" s="1708"/>
      <c r="B118" s="1708"/>
      <c r="C118" s="1708"/>
      <c r="D118" s="1708"/>
      <c r="E118" s="1708"/>
      <c r="F118" s="1708"/>
      <c r="G118" s="1708"/>
      <c r="H118" s="1708"/>
      <c r="I118" s="1708"/>
      <c r="J118" s="1708"/>
    </row>
    <row r="119" spans="1:10" x14ac:dyDescent="0.25">
      <c r="A119" s="1708"/>
      <c r="B119" s="1708"/>
      <c r="C119" s="1708"/>
      <c r="D119" s="1708"/>
      <c r="E119" s="1708"/>
      <c r="F119" s="1708"/>
      <c r="G119" s="1708"/>
      <c r="H119" s="1708"/>
      <c r="I119" s="1708"/>
      <c r="J119" s="1708"/>
    </row>
    <row r="120" spans="1:10" x14ac:dyDescent="0.25">
      <c r="A120" s="1708"/>
      <c r="B120" s="1708"/>
      <c r="C120" s="1708"/>
      <c r="D120" s="1708"/>
      <c r="E120" s="1708"/>
      <c r="F120" s="1708"/>
      <c r="G120" s="1708"/>
      <c r="H120" s="1708"/>
      <c r="I120" s="1708"/>
      <c r="J120" s="1708"/>
    </row>
    <row r="121" spans="1:10" x14ac:dyDescent="0.25">
      <c r="A121" s="1708"/>
      <c r="B121" s="1708"/>
      <c r="C121" s="1708"/>
      <c r="D121" s="1708"/>
      <c r="E121" s="1708"/>
      <c r="F121" s="1708"/>
      <c r="G121" s="1708"/>
      <c r="H121" s="1708"/>
      <c r="I121" s="1708"/>
      <c r="J121" s="1708"/>
    </row>
    <row r="122" spans="1:10" x14ac:dyDescent="0.25">
      <c r="A122" s="1708"/>
      <c r="B122" s="1708"/>
      <c r="C122" s="1708"/>
      <c r="D122" s="1708"/>
      <c r="E122" s="1708"/>
      <c r="F122" s="1708"/>
      <c r="G122" s="1708"/>
      <c r="H122" s="1708"/>
      <c r="I122" s="1708"/>
      <c r="J122" s="1708"/>
    </row>
    <row r="123" spans="1:10" x14ac:dyDescent="0.25">
      <c r="A123" s="1708"/>
      <c r="B123" s="1708"/>
      <c r="C123" s="1708"/>
      <c r="D123" s="1708"/>
      <c r="E123" s="1708"/>
      <c r="F123" s="1708"/>
      <c r="G123" s="1708"/>
      <c r="H123" s="1708"/>
      <c r="I123" s="1708"/>
      <c r="J123" s="1708"/>
    </row>
    <row r="124" spans="1:10" x14ac:dyDescent="0.25">
      <c r="A124" s="1708"/>
      <c r="B124" s="1708"/>
      <c r="C124" s="1708"/>
      <c r="D124" s="1708"/>
      <c r="E124" s="1708"/>
      <c r="F124" s="1708"/>
      <c r="G124" s="1708"/>
      <c r="H124" s="1708"/>
      <c r="I124" s="1708"/>
      <c r="J124" s="1708"/>
    </row>
    <row r="125" spans="1:10" x14ac:dyDescent="0.25">
      <c r="A125" s="1708"/>
      <c r="B125" s="1708"/>
      <c r="C125" s="1708"/>
      <c r="D125" s="1708"/>
      <c r="E125" s="1708"/>
      <c r="F125" s="1708"/>
      <c r="G125" s="1708"/>
      <c r="H125" s="1708"/>
      <c r="I125" s="1708"/>
      <c r="J125" s="1708"/>
    </row>
    <row r="126" spans="1:10" x14ac:dyDescent="0.25">
      <c r="A126" s="1708"/>
      <c r="B126" s="1708"/>
      <c r="C126" s="1708"/>
      <c r="D126" s="1708"/>
      <c r="E126" s="1708"/>
      <c r="F126" s="1708"/>
      <c r="G126" s="1708"/>
      <c r="H126" s="1708"/>
      <c r="I126" s="1708"/>
      <c r="J126" s="1708"/>
    </row>
    <row r="127" spans="1:10" x14ac:dyDescent="0.25">
      <c r="A127" s="1708"/>
      <c r="B127" s="1708"/>
      <c r="C127" s="1708"/>
      <c r="D127" s="1708"/>
      <c r="E127" s="1708"/>
      <c r="F127" s="1708"/>
      <c r="G127" s="1708"/>
      <c r="H127" s="1708"/>
      <c r="I127" s="1708"/>
      <c r="J127" s="1708"/>
    </row>
    <row r="128" spans="1:10" x14ac:dyDescent="0.25">
      <c r="A128" s="1708"/>
      <c r="B128" s="1708"/>
      <c r="C128" s="1708"/>
      <c r="D128" s="1708"/>
      <c r="E128" s="1708"/>
      <c r="F128" s="1708"/>
      <c r="G128" s="1708"/>
      <c r="H128" s="1708"/>
      <c r="I128" s="1708"/>
      <c r="J128" s="1708"/>
    </row>
    <row r="129" spans="1:10" x14ac:dyDescent="0.25">
      <c r="A129" s="1708"/>
      <c r="B129" s="1708"/>
      <c r="C129" s="1708"/>
      <c r="D129" s="1708"/>
      <c r="E129" s="1708"/>
      <c r="F129" s="1708"/>
      <c r="G129" s="1708"/>
      <c r="H129" s="1708"/>
      <c r="I129" s="1708"/>
      <c r="J129" s="1708"/>
    </row>
    <row r="130" spans="1:10" x14ac:dyDescent="0.25">
      <c r="A130" s="1708"/>
      <c r="B130" s="1708"/>
      <c r="C130" s="1708"/>
      <c r="D130" s="1708"/>
      <c r="E130" s="1708"/>
      <c r="F130" s="1708"/>
      <c r="G130" s="1708"/>
      <c r="H130" s="1708"/>
      <c r="I130" s="1708"/>
      <c r="J130" s="1708"/>
    </row>
    <row r="131" spans="1:10" x14ac:dyDescent="0.25">
      <c r="A131" s="1708"/>
      <c r="B131" s="1708"/>
      <c r="C131" s="1708"/>
      <c r="D131" s="1708"/>
      <c r="E131" s="1708"/>
      <c r="F131" s="1708"/>
      <c r="G131" s="1708"/>
      <c r="H131" s="1708"/>
      <c r="I131" s="1708"/>
      <c r="J131" s="1708"/>
    </row>
    <row r="132" spans="1:10" x14ac:dyDescent="0.25">
      <c r="A132" s="1708"/>
      <c r="B132" s="1708"/>
      <c r="C132" s="1708"/>
      <c r="D132" s="1708"/>
      <c r="E132" s="1708"/>
      <c r="F132" s="1708"/>
      <c r="G132" s="1708"/>
      <c r="H132" s="1708"/>
      <c r="I132" s="1708"/>
      <c r="J132" s="1708"/>
    </row>
    <row r="133" spans="1:10" x14ac:dyDescent="0.25">
      <c r="A133" s="1708"/>
      <c r="B133" s="1708"/>
      <c r="C133" s="1708"/>
      <c r="D133" s="1708"/>
      <c r="E133" s="1708"/>
      <c r="F133" s="1708"/>
      <c r="G133" s="1708"/>
      <c r="H133" s="1708"/>
      <c r="I133" s="1708"/>
      <c r="J133" s="1708"/>
    </row>
    <row r="134" spans="1:10" x14ac:dyDescent="0.25">
      <c r="A134" s="1708"/>
      <c r="B134" s="1708"/>
      <c r="C134" s="1708"/>
      <c r="D134" s="1708"/>
      <c r="E134" s="1708"/>
      <c r="F134" s="1708"/>
      <c r="G134" s="1708"/>
      <c r="H134" s="1708"/>
      <c r="I134" s="1708"/>
      <c r="J134" s="1708"/>
    </row>
    <row r="135" spans="1:10" x14ac:dyDescent="0.25">
      <c r="A135" s="1708"/>
      <c r="B135" s="1708"/>
      <c r="C135" s="1708"/>
      <c r="D135" s="1708"/>
      <c r="E135" s="1708"/>
      <c r="F135" s="1708"/>
      <c r="G135" s="1708"/>
      <c r="H135" s="1708"/>
      <c r="I135" s="1708"/>
      <c r="J135" s="1708"/>
    </row>
    <row r="136" spans="1:10" x14ac:dyDescent="0.25">
      <c r="A136" s="1708"/>
      <c r="B136" s="1708"/>
      <c r="C136" s="1708"/>
      <c r="D136" s="1708"/>
      <c r="E136" s="1708"/>
      <c r="F136" s="1708"/>
      <c r="G136" s="1708"/>
      <c r="H136" s="1708"/>
      <c r="I136" s="1708"/>
      <c r="J136" s="1708"/>
    </row>
    <row r="137" spans="1:10" x14ac:dyDescent="0.25">
      <c r="A137" s="1708"/>
      <c r="B137" s="1708"/>
      <c r="C137" s="1708"/>
      <c r="D137" s="1708"/>
      <c r="E137" s="1708"/>
      <c r="F137" s="1708"/>
      <c r="G137" s="1708"/>
      <c r="H137" s="1708"/>
      <c r="I137" s="1708"/>
      <c r="J137" s="1708"/>
    </row>
    <row r="138" spans="1:10" x14ac:dyDescent="0.25">
      <c r="A138" s="1708"/>
      <c r="B138" s="1708"/>
      <c r="C138" s="1708"/>
      <c r="D138" s="1708"/>
      <c r="E138" s="1708"/>
      <c r="F138" s="1708"/>
      <c r="G138" s="1708"/>
      <c r="H138" s="1708"/>
      <c r="I138" s="1708"/>
      <c r="J138" s="1708"/>
    </row>
    <row r="139" spans="1:10" x14ac:dyDescent="0.25">
      <c r="A139" s="1708"/>
      <c r="B139" s="1708"/>
      <c r="C139" s="1708"/>
      <c r="D139" s="1708"/>
      <c r="E139" s="1708"/>
      <c r="F139" s="1708"/>
      <c r="G139" s="1708"/>
      <c r="H139" s="1708"/>
      <c r="I139" s="1708"/>
      <c r="J139" s="1708"/>
    </row>
    <row r="140" spans="1:10" x14ac:dyDescent="0.25">
      <c r="A140" s="1708"/>
      <c r="B140" s="1708"/>
      <c r="C140" s="1708"/>
      <c r="D140" s="1708"/>
      <c r="E140" s="1708"/>
      <c r="F140" s="1708"/>
      <c r="G140" s="1708"/>
      <c r="H140" s="1708"/>
      <c r="I140" s="1708"/>
      <c r="J140" s="1708"/>
    </row>
    <row r="141" spans="1:10" x14ac:dyDescent="0.25">
      <c r="A141" s="1708"/>
      <c r="B141" s="1708"/>
      <c r="C141" s="1708"/>
      <c r="D141" s="1708"/>
      <c r="E141" s="1708"/>
      <c r="F141" s="1708"/>
      <c r="G141" s="1708"/>
      <c r="H141" s="1708"/>
      <c r="I141" s="1708"/>
      <c r="J141" s="1708"/>
    </row>
    <row r="142" spans="1:10" x14ac:dyDescent="0.25">
      <c r="A142" s="1708"/>
      <c r="B142" s="1708"/>
      <c r="C142" s="1708"/>
      <c r="D142" s="1708"/>
      <c r="E142" s="1708"/>
      <c r="F142" s="1708"/>
      <c r="G142" s="1708"/>
      <c r="H142" s="1708"/>
      <c r="I142" s="1708"/>
      <c r="J142" s="1708"/>
    </row>
    <row r="143" spans="1:10" x14ac:dyDescent="0.25">
      <c r="A143" s="1708"/>
      <c r="B143" s="1708"/>
      <c r="C143" s="1708"/>
      <c r="D143" s="1708"/>
      <c r="E143" s="1708"/>
      <c r="F143" s="1708"/>
      <c r="G143" s="1708"/>
      <c r="H143" s="1708"/>
      <c r="I143" s="1708"/>
      <c r="J143" s="1708"/>
    </row>
    <row r="144" spans="1:10" x14ac:dyDescent="0.25">
      <c r="A144" s="1708"/>
      <c r="B144" s="1708"/>
      <c r="C144" s="1708"/>
      <c r="D144" s="1708"/>
      <c r="E144" s="1708"/>
      <c r="F144" s="1708"/>
      <c r="G144" s="1708"/>
      <c r="H144" s="1708"/>
      <c r="I144" s="1708"/>
      <c r="J144" s="1708"/>
    </row>
    <row r="145" spans="1:10" x14ac:dyDescent="0.25">
      <c r="A145" s="1708"/>
      <c r="B145" s="1708"/>
      <c r="C145" s="1708"/>
      <c r="D145" s="1708"/>
      <c r="E145" s="1708"/>
      <c r="F145" s="1708"/>
      <c r="G145" s="1708"/>
      <c r="H145" s="1708"/>
      <c r="I145" s="1708"/>
      <c r="J145" s="1708"/>
    </row>
    <row r="146" spans="1:10" x14ac:dyDescent="0.25">
      <c r="A146" s="1708"/>
      <c r="B146" s="1708"/>
      <c r="C146" s="1708"/>
      <c r="D146" s="1708"/>
      <c r="E146" s="1708"/>
      <c r="F146" s="1708"/>
      <c r="G146" s="1708"/>
      <c r="H146" s="1708"/>
      <c r="I146" s="1708"/>
      <c r="J146" s="1708"/>
    </row>
    <row r="147" spans="1:10" x14ac:dyDescent="0.25">
      <c r="A147" s="1708"/>
      <c r="B147" s="1708"/>
      <c r="C147" s="1708"/>
      <c r="D147" s="1708"/>
      <c r="E147" s="1708"/>
      <c r="F147" s="1708"/>
      <c r="G147" s="1708"/>
      <c r="H147" s="1708"/>
      <c r="I147" s="1708"/>
      <c r="J147" s="1708"/>
    </row>
    <row r="148" spans="1:10" x14ac:dyDescent="0.25">
      <c r="A148" s="1708"/>
      <c r="B148" s="1708"/>
      <c r="C148" s="1708"/>
      <c r="D148" s="1708"/>
      <c r="E148" s="1708"/>
      <c r="F148" s="1708"/>
      <c r="G148" s="1708"/>
      <c r="H148" s="1708"/>
      <c r="I148" s="1708"/>
      <c r="J148" s="1708"/>
    </row>
    <row r="149" spans="1:10" x14ac:dyDescent="0.25">
      <c r="A149" s="1708"/>
      <c r="B149" s="1708"/>
      <c r="C149" s="1708"/>
      <c r="D149" s="1708"/>
      <c r="E149" s="1708"/>
      <c r="F149" s="1708"/>
      <c r="G149" s="1708"/>
      <c r="H149" s="1708"/>
      <c r="I149" s="1708"/>
      <c r="J149" s="1708"/>
    </row>
    <row r="150" spans="1:10" x14ac:dyDescent="0.25">
      <c r="A150" s="1708"/>
      <c r="B150" s="1708"/>
      <c r="C150" s="1708"/>
      <c r="D150" s="1708"/>
      <c r="E150" s="1708"/>
      <c r="F150" s="1708"/>
      <c r="G150" s="1708"/>
      <c r="H150" s="1708"/>
      <c r="I150" s="1708"/>
      <c r="J150" s="1708"/>
    </row>
    <row r="151" spans="1:10" x14ac:dyDescent="0.25">
      <c r="A151" s="1708"/>
      <c r="B151" s="1708"/>
      <c r="C151" s="1708"/>
      <c r="D151" s="1708"/>
      <c r="E151" s="1708"/>
      <c r="F151" s="1708"/>
      <c r="G151" s="1708"/>
      <c r="H151" s="1708"/>
      <c r="I151" s="1708"/>
      <c r="J151" s="1708"/>
    </row>
    <row r="152" spans="1:10" x14ac:dyDescent="0.25">
      <c r="A152" s="1708"/>
      <c r="B152" s="1708"/>
      <c r="C152" s="1708"/>
      <c r="D152" s="1708"/>
      <c r="E152" s="1708"/>
      <c r="F152" s="1708"/>
      <c r="G152" s="1708"/>
      <c r="H152" s="1708"/>
      <c r="I152" s="1708"/>
      <c r="J152" s="1708"/>
    </row>
    <row r="153" spans="1:10" x14ac:dyDescent="0.25">
      <c r="A153" s="1708"/>
      <c r="B153" s="1708"/>
      <c r="C153" s="1708"/>
      <c r="D153" s="1708"/>
      <c r="E153" s="1708"/>
      <c r="F153" s="1708"/>
      <c r="G153" s="1708"/>
      <c r="H153" s="1708"/>
      <c r="I153" s="1708"/>
      <c r="J153" s="1708"/>
    </row>
    <row r="154" spans="1:10" x14ac:dyDescent="0.25">
      <c r="A154" s="1708"/>
      <c r="B154" s="1708"/>
      <c r="C154" s="1708"/>
      <c r="D154" s="1708"/>
      <c r="E154" s="1708"/>
      <c r="F154" s="1708"/>
      <c r="G154" s="1708"/>
      <c r="H154" s="1708"/>
      <c r="I154" s="1708"/>
      <c r="J154" s="1708"/>
    </row>
    <row r="155" spans="1:10" x14ac:dyDescent="0.25">
      <c r="A155" s="1708"/>
      <c r="B155" s="1708"/>
      <c r="C155" s="1708"/>
      <c r="D155" s="1708"/>
      <c r="E155" s="1708"/>
      <c r="F155" s="1708"/>
      <c r="G155" s="1708"/>
      <c r="H155" s="1708"/>
      <c r="I155" s="1708"/>
      <c r="J155" s="1708"/>
    </row>
    <row r="156" spans="1:10" x14ac:dyDescent="0.25">
      <c r="A156" s="1708"/>
      <c r="B156" s="1708"/>
      <c r="C156" s="1708"/>
      <c r="D156" s="1708"/>
      <c r="E156" s="1708"/>
      <c r="F156" s="1708"/>
      <c r="G156" s="1708"/>
      <c r="H156" s="1708"/>
      <c r="I156" s="1708"/>
      <c r="J156" s="1708"/>
    </row>
    <row r="157" spans="1:10" x14ac:dyDescent="0.25">
      <c r="A157" s="1708"/>
      <c r="B157" s="1708"/>
      <c r="C157" s="1708"/>
      <c r="D157" s="1708"/>
      <c r="E157" s="1708"/>
      <c r="F157" s="1708"/>
      <c r="G157" s="1708"/>
      <c r="H157" s="1708"/>
      <c r="I157" s="1708"/>
      <c r="J157" s="1708"/>
    </row>
    <row r="158" spans="1:10" x14ac:dyDescent="0.25">
      <c r="A158" s="1708"/>
      <c r="B158" s="1708"/>
      <c r="C158" s="1708"/>
      <c r="D158" s="1708"/>
      <c r="E158" s="1708"/>
      <c r="F158" s="1708"/>
      <c r="G158" s="1708"/>
      <c r="H158" s="1708"/>
      <c r="I158" s="1708"/>
      <c r="J158" s="1708"/>
    </row>
    <row r="159" spans="1:10" x14ac:dyDescent="0.25">
      <c r="A159" s="1708"/>
      <c r="B159" s="1708"/>
      <c r="C159" s="1708"/>
      <c r="D159" s="1708"/>
      <c r="E159" s="1708"/>
      <c r="F159" s="1708"/>
      <c r="G159" s="1708"/>
      <c r="H159" s="1708"/>
      <c r="I159" s="1708"/>
      <c r="J159" s="1708"/>
    </row>
    <row r="160" spans="1:10" x14ac:dyDescent="0.25">
      <c r="A160" s="1708"/>
      <c r="B160" s="1708"/>
      <c r="C160" s="1708"/>
      <c r="D160" s="1708"/>
      <c r="E160" s="1708"/>
      <c r="F160" s="1708"/>
      <c r="G160" s="1708"/>
      <c r="H160" s="1708"/>
      <c r="I160" s="1708"/>
      <c r="J160" s="1708"/>
    </row>
    <row r="161" spans="1:10" x14ac:dyDescent="0.25">
      <c r="A161" s="1708"/>
      <c r="B161" s="1708"/>
      <c r="C161" s="1708"/>
      <c r="D161" s="1708"/>
      <c r="E161" s="1708"/>
      <c r="F161" s="1708"/>
      <c r="G161" s="1708"/>
      <c r="H161" s="1708"/>
      <c r="I161" s="1708"/>
      <c r="J161" s="1708"/>
    </row>
    <row r="162" spans="1:10" x14ac:dyDescent="0.25">
      <c r="A162" s="1708"/>
      <c r="B162" s="1708"/>
      <c r="C162" s="1708"/>
      <c r="D162" s="1708"/>
      <c r="E162" s="1708"/>
      <c r="F162" s="1708"/>
      <c r="G162" s="1708"/>
      <c r="H162" s="1708"/>
      <c r="I162" s="1708"/>
      <c r="J162" s="1708"/>
    </row>
    <row r="163" spans="1:10" x14ac:dyDescent="0.25">
      <c r="A163" s="1708"/>
      <c r="B163" s="1708"/>
      <c r="C163" s="1708"/>
      <c r="D163" s="1708"/>
      <c r="E163" s="1708"/>
      <c r="F163" s="1708"/>
      <c r="G163" s="1708"/>
      <c r="H163" s="1708"/>
      <c r="I163" s="1708"/>
      <c r="J163" s="1708"/>
    </row>
    <row r="164" spans="1:10" x14ac:dyDescent="0.25">
      <c r="A164" s="1708"/>
      <c r="B164" s="1708"/>
      <c r="C164" s="1708"/>
      <c r="D164" s="1708"/>
      <c r="E164" s="1708"/>
      <c r="F164" s="1708"/>
      <c r="G164" s="1708"/>
      <c r="H164" s="1708"/>
      <c r="I164" s="1708"/>
      <c r="J164" s="1708"/>
    </row>
    <row r="165" spans="1:10" x14ac:dyDescent="0.25">
      <c r="A165" s="1708"/>
      <c r="B165" s="1708"/>
      <c r="C165" s="1708"/>
      <c r="D165" s="1708"/>
      <c r="E165" s="1708"/>
      <c r="F165" s="1708"/>
      <c r="G165" s="1708"/>
      <c r="H165" s="1708"/>
      <c r="I165" s="1708"/>
      <c r="J165" s="1708"/>
    </row>
    <row r="166" spans="1:10" x14ac:dyDescent="0.25">
      <c r="A166" s="1708"/>
      <c r="B166" s="1708"/>
      <c r="C166" s="1708"/>
      <c r="D166" s="1708"/>
      <c r="E166" s="1708"/>
      <c r="F166" s="1708"/>
      <c r="G166" s="1708"/>
      <c r="H166" s="1708"/>
      <c r="I166" s="1708"/>
      <c r="J166" s="1708"/>
    </row>
    <row r="167" spans="1:10" x14ac:dyDescent="0.25">
      <c r="A167" s="1708"/>
      <c r="B167" s="1708"/>
      <c r="C167" s="1708"/>
      <c r="D167" s="1708"/>
      <c r="E167" s="1708"/>
      <c r="F167" s="1708"/>
      <c r="G167" s="1708"/>
      <c r="H167" s="1708"/>
      <c r="I167" s="1708"/>
      <c r="J167" s="1708"/>
    </row>
    <row r="168" spans="1:10" x14ac:dyDescent="0.25">
      <c r="A168" s="1708"/>
      <c r="B168" s="1708"/>
      <c r="C168" s="1708"/>
      <c r="D168" s="1708"/>
      <c r="E168" s="1708"/>
      <c r="F168" s="1708"/>
      <c r="G168" s="1708"/>
      <c r="H168" s="1708"/>
      <c r="I168" s="1708"/>
      <c r="J168" s="1708"/>
    </row>
    <row r="169" spans="1:10" x14ac:dyDescent="0.25">
      <c r="A169" s="1708"/>
      <c r="B169" s="1708"/>
      <c r="C169" s="1708"/>
      <c r="D169" s="1708"/>
      <c r="E169" s="1708"/>
      <c r="F169" s="1708"/>
      <c r="G169" s="1708"/>
      <c r="H169" s="1708"/>
      <c r="I169" s="1708"/>
      <c r="J169" s="1708"/>
    </row>
    <row r="170" spans="1:10" x14ac:dyDescent="0.25">
      <c r="A170" s="1708"/>
      <c r="B170" s="1708"/>
      <c r="C170" s="1708"/>
      <c r="D170" s="1708"/>
      <c r="E170" s="1708"/>
      <c r="F170" s="1708"/>
      <c r="G170" s="1708"/>
      <c r="H170" s="1708"/>
      <c r="I170" s="1708"/>
      <c r="J170" s="1708"/>
    </row>
    <row r="171" spans="1:10" x14ac:dyDescent="0.25">
      <c r="A171" s="1708"/>
      <c r="B171" s="1708"/>
      <c r="C171" s="1708"/>
      <c r="D171" s="1708"/>
      <c r="E171" s="1708"/>
      <c r="F171" s="1708"/>
      <c r="G171" s="1708"/>
      <c r="H171" s="1708"/>
      <c r="I171" s="1708"/>
      <c r="J171" s="1708"/>
    </row>
    <row r="172" spans="1:10" x14ac:dyDescent="0.25">
      <c r="A172" s="1708"/>
      <c r="B172" s="1708"/>
      <c r="C172" s="1708"/>
      <c r="D172" s="1708"/>
      <c r="E172" s="1708"/>
      <c r="F172" s="1708"/>
      <c r="G172" s="1708"/>
      <c r="H172" s="1708"/>
      <c r="I172" s="1708"/>
      <c r="J172" s="1708"/>
    </row>
    <row r="173" spans="1:10" x14ac:dyDescent="0.25">
      <c r="A173" s="1708"/>
      <c r="B173" s="1708"/>
      <c r="C173" s="1708"/>
      <c r="D173" s="1708"/>
      <c r="E173" s="1708"/>
      <c r="F173" s="1708"/>
      <c r="G173" s="1708"/>
      <c r="H173" s="1708"/>
      <c r="I173" s="1708"/>
      <c r="J173" s="1708"/>
    </row>
    <row r="174" spans="1:10" x14ac:dyDescent="0.25">
      <c r="A174" s="1708"/>
      <c r="B174" s="1708"/>
      <c r="C174" s="1708"/>
      <c r="D174" s="1708"/>
      <c r="E174" s="1708"/>
      <c r="F174" s="1708"/>
      <c r="G174" s="1708"/>
      <c r="H174" s="1708"/>
      <c r="I174" s="1708"/>
      <c r="J174" s="1708"/>
    </row>
    <row r="175" spans="1:10" x14ac:dyDescent="0.25">
      <c r="A175" s="1708"/>
      <c r="B175" s="1708"/>
      <c r="C175" s="1708"/>
      <c r="D175" s="1708"/>
      <c r="E175" s="1708"/>
      <c r="F175" s="1708"/>
      <c r="G175" s="1708"/>
      <c r="H175" s="1708"/>
      <c r="I175" s="1708"/>
      <c r="J175" s="1708"/>
    </row>
    <row r="176" spans="1:10" x14ac:dyDescent="0.25">
      <c r="A176" s="1708"/>
      <c r="B176" s="1708"/>
      <c r="C176" s="1708"/>
      <c r="D176" s="1708"/>
      <c r="E176" s="1708"/>
      <c r="F176" s="1708"/>
      <c r="G176" s="1708"/>
      <c r="H176" s="1708"/>
      <c r="I176" s="1708"/>
      <c r="J176" s="1708"/>
    </row>
    <row r="177" spans="1:10" x14ac:dyDescent="0.25">
      <c r="A177" s="1708"/>
      <c r="B177" s="1708"/>
      <c r="C177" s="1708"/>
      <c r="D177" s="1708"/>
      <c r="E177" s="1708"/>
      <c r="F177" s="1708"/>
      <c r="G177" s="1708"/>
      <c r="H177" s="1708"/>
      <c r="I177" s="1708"/>
      <c r="J177" s="1708"/>
    </row>
    <row r="178" spans="1:10" x14ac:dyDescent="0.25">
      <c r="A178" s="1708"/>
      <c r="B178" s="1708"/>
      <c r="C178" s="1708"/>
      <c r="D178" s="1708"/>
      <c r="E178" s="1708"/>
      <c r="F178" s="1708"/>
      <c r="G178" s="1708"/>
      <c r="H178" s="1708"/>
      <c r="I178" s="1708"/>
      <c r="J178" s="1708"/>
    </row>
    <row r="179" spans="1:10" x14ac:dyDescent="0.25">
      <c r="A179" s="1708"/>
      <c r="B179" s="1708"/>
      <c r="C179" s="1708"/>
      <c r="D179" s="1708"/>
      <c r="E179" s="1708"/>
      <c r="F179" s="1708"/>
      <c r="G179" s="1708"/>
      <c r="H179" s="1708"/>
      <c r="I179" s="1708"/>
      <c r="J179" s="1708"/>
    </row>
    <row r="180" spans="1:10" x14ac:dyDescent="0.25">
      <c r="A180" s="1708"/>
      <c r="B180" s="1708"/>
      <c r="C180" s="1708"/>
      <c r="D180" s="1708"/>
      <c r="E180" s="1708"/>
      <c r="F180" s="1708"/>
      <c r="G180" s="1708"/>
      <c r="H180" s="1708"/>
      <c r="I180" s="1708"/>
      <c r="J180" s="1708"/>
    </row>
    <row r="181" spans="1:10" x14ac:dyDescent="0.25">
      <c r="A181" s="1708"/>
      <c r="B181" s="1708"/>
      <c r="C181" s="1708"/>
      <c r="D181" s="1708"/>
      <c r="E181" s="1708"/>
      <c r="F181" s="1708"/>
      <c r="G181" s="1708"/>
      <c r="H181" s="1708"/>
      <c r="I181" s="1708"/>
      <c r="J181" s="1708"/>
    </row>
    <row r="182" spans="1:10" x14ac:dyDescent="0.25">
      <c r="A182" s="1708"/>
      <c r="B182" s="1708"/>
      <c r="C182" s="1708"/>
      <c r="D182" s="1708"/>
      <c r="E182" s="1708"/>
      <c r="F182" s="1708"/>
      <c r="G182" s="1708"/>
      <c r="H182" s="1708"/>
      <c r="I182" s="1708"/>
      <c r="J182" s="1708"/>
    </row>
    <row r="183" spans="1:10" x14ac:dyDescent="0.25">
      <c r="A183" s="1708"/>
      <c r="B183" s="1708"/>
      <c r="C183" s="1708"/>
      <c r="D183" s="1708"/>
      <c r="E183" s="1708"/>
      <c r="F183" s="1708"/>
      <c r="G183" s="1708"/>
      <c r="H183" s="1708"/>
      <c r="I183" s="1708"/>
      <c r="J183" s="1708"/>
    </row>
    <row r="184" spans="1:10" x14ac:dyDescent="0.25">
      <c r="A184" s="1708"/>
      <c r="B184" s="1708"/>
      <c r="C184" s="1708"/>
      <c r="D184" s="1708"/>
      <c r="E184" s="1708"/>
      <c r="F184" s="1708"/>
      <c r="G184" s="1708"/>
      <c r="H184" s="1708"/>
      <c r="I184" s="1708"/>
      <c r="J184" s="1708"/>
    </row>
    <row r="185" spans="1:10" x14ac:dyDescent="0.25">
      <c r="A185" s="1708"/>
      <c r="B185" s="1708"/>
      <c r="C185" s="1708"/>
      <c r="D185" s="1708"/>
      <c r="E185" s="1708"/>
      <c r="F185" s="1708"/>
      <c r="G185" s="1708"/>
      <c r="H185" s="1708"/>
      <c r="I185" s="1708"/>
      <c r="J185" s="1708"/>
    </row>
    <row r="186" spans="1:10" x14ac:dyDescent="0.25">
      <c r="A186" s="1708"/>
      <c r="B186" s="1708"/>
      <c r="C186" s="1708"/>
      <c r="D186" s="1708"/>
      <c r="E186" s="1708"/>
      <c r="F186" s="1708"/>
      <c r="G186" s="1708"/>
      <c r="H186" s="1708"/>
      <c r="I186" s="1708"/>
      <c r="J186" s="1708"/>
    </row>
    <row r="187" spans="1:10" x14ac:dyDescent="0.25">
      <c r="A187" s="1708"/>
      <c r="B187" s="1708"/>
      <c r="C187" s="1708"/>
      <c r="D187" s="1708"/>
      <c r="E187" s="1708"/>
      <c r="F187" s="1708"/>
      <c r="G187" s="1708"/>
      <c r="H187" s="1708"/>
      <c r="I187" s="1708"/>
      <c r="J187" s="1708"/>
    </row>
    <row r="188" spans="1:10" x14ac:dyDescent="0.25">
      <c r="A188" s="1708"/>
      <c r="B188" s="1708"/>
      <c r="C188" s="1708"/>
      <c r="D188" s="1708"/>
      <c r="E188" s="1708"/>
      <c r="F188" s="1708"/>
      <c r="G188" s="1708"/>
      <c r="H188" s="1708"/>
      <c r="I188" s="1708"/>
      <c r="J188" s="1708"/>
    </row>
    <row r="189" spans="1:10" x14ac:dyDescent="0.25">
      <c r="A189" s="1708"/>
      <c r="B189" s="1708"/>
      <c r="C189" s="1708"/>
      <c r="D189" s="1708"/>
      <c r="E189" s="1708"/>
      <c r="F189" s="1708"/>
      <c r="G189" s="1708"/>
      <c r="H189" s="1708"/>
      <c r="I189" s="1708"/>
      <c r="J189" s="1708"/>
    </row>
    <row r="190" spans="1:10" x14ac:dyDescent="0.25">
      <c r="A190" s="1708"/>
      <c r="B190" s="1708"/>
      <c r="C190" s="1708"/>
      <c r="D190" s="1708"/>
      <c r="E190" s="1708"/>
      <c r="F190" s="1708"/>
      <c r="G190" s="1708"/>
      <c r="H190" s="1708"/>
      <c r="I190" s="1708"/>
      <c r="J190" s="1708"/>
    </row>
    <row r="191" spans="1:10" x14ac:dyDescent="0.25">
      <c r="A191" s="1708"/>
      <c r="B191" s="1708"/>
      <c r="C191" s="1708"/>
      <c r="D191" s="1708"/>
      <c r="E191" s="1708"/>
      <c r="F191" s="1708"/>
      <c r="G191" s="1708"/>
      <c r="H191" s="1708"/>
      <c r="I191" s="1708"/>
      <c r="J191" s="1708"/>
    </row>
    <row r="192" spans="1:10" x14ac:dyDescent="0.25">
      <c r="A192" s="1708"/>
      <c r="B192" s="1708"/>
      <c r="C192" s="1708"/>
      <c r="D192" s="1708"/>
      <c r="E192" s="1708"/>
      <c r="F192" s="1708"/>
      <c r="G192" s="1708"/>
      <c r="H192" s="1708"/>
      <c r="I192" s="1708"/>
      <c r="J192" s="1708"/>
    </row>
    <row r="193" spans="1:10" x14ac:dyDescent="0.25">
      <c r="A193" s="1708"/>
      <c r="B193" s="1708"/>
      <c r="C193" s="1708"/>
      <c r="D193" s="1708"/>
      <c r="E193" s="1708"/>
      <c r="F193" s="1708"/>
      <c r="G193" s="1708"/>
      <c r="H193" s="1708"/>
      <c r="I193" s="1708"/>
      <c r="J193" s="1708"/>
    </row>
    <row r="194" spans="1:10" x14ac:dyDescent="0.25">
      <c r="A194" s="1708"/>
      <c r="B194" s="1708"/>
      <c r="C194" s="1708"/>
      <c r="D194" s="1708"/>
      <c r="E194" s="1708"/>
      <c r="F194" s="1708"/>
      <c r="G194" s="1708"/>
      <c r="H194" s="1708"/>
      <c r="I194" s="1708"/>
      <c r="J194" s="1708"/>
    </row>
    <row r="195" spans="1:10" x14ac:dyDescent="0.25">
      <c r="A195" s="1708"/>
      <c r="B195" s="1708"/>
      <c r="C195" s="1708"/>
      <c r="D195" s="1708"/>
      <c r="E195" s="1708"/>
      <c r="F195" s="1708"/>
      <c r="G195" s="1708"/>
      <c r="H195" s="1708"/>
      <c r="I195" s="1708"/>
      <c r="J195" s="1708"/>
    </row>
    <row r="196" spans="1:10" x14ac:dyDescent="0.25">
      <c r="A196" s="1708"/>
      <c r="B196" s="1708"/>
      <c r="C196" s="1708"/>
      <c r="D196" s="1708"/>
      <c r="E196" s="1708"/>
      <c r="F196" s="1708"/>
      <c r="G196" s="1708"/>
      <c r="H196" s="1708"/>
      <c r="I196" s="1708"/>
      <c r="J196" s="1708"/>
    </row>
    <row r="197" spans="1:10" x14ac:dyDescent="0.25">
      <c r="A197" s="1708"/>
      <c r="B197" s="1708"/>
      <c r="C197" s="1708"/>
      <c r="D197" s="1708"/>
      <c r="E197" s="1708"/>
      <c r="F197" s="1708"/>
      <c r="G197" s="1708"/>
      <c r="H197" s="1708"/>
      <c r="I197" s="1708"/>
      <c r="J197" s="1708"/>
    </row>
    <row r="198" spans="1:10" x14ac:dyDescent="0.25">
      <c r="A198" s="1708"/>
      <c r="B198" s="1708"/>
      <c r="C198" s="1708"/>
      <c r="D198" s="1708"/>
      <c r="E198" s="1708"/>
      <c r="F198" s="1708"/>
      <c r="G198" s="1708"/>
      <c r="H198" s="1708"/>
      <c r="I198" s="1708"/>
      <c r="J198" s="1708"/>
    </row>
    <row r="199" spans="1:10" x14ac:dyDescent="0.25">
      <c r="A199" s="1708"/>
      <c r="B199" s="1708"/>
      <c r="C199" s="1708"/>
      <c r="D199" s="1708"/>
      <c r="E199" s="1708"/>
      <c r="F199" s="1708"/>
      <c r="G199" s="1708"/>
      <c r="H199" s="1708"/>
      <c r="I199" s="1708"/>
      <c r="J199" s="1708"/>
    </row>
    <row r="200" spans="1:10" x14ac:dyDescent="0.25">
      <c r="A200" s="1708"/>
      <c r="B200" s="1708"/>
      <c r="C200" s="1708"/>
      <c r="D200" s="1708"/>
      <c r="E200" s="1708"/>
      <c r="F200" s="1708"/>
      <c r="G200" s="1708"/>
      <c r="H200" s="1708"/>
      <c r="I200" s="1708"/>
      <c r="J200" s="1708"/>
    </row>
  </sheetData>
  <sheetProtection password="E593" sheet="1" objects="1" scenarios="1"/>
  <customSheetViews>
    <customSheetView guid="{B63065A1-7838-417A-8679-08A8A2B79CD8}" scale="85" showPageBreaks="1" showGridLines="0" fitToPage="1" printArea="1">
      <selection activeCell="I3" sqref="I3"/>
      <pageMargins left="0.25" right="0.25" top="0.5" bottom="0" header="0" footer="0"/>
      <printOptions horizontalCentered="1"/>
      <pageSetup scale="70" orientation="portrait" blackAndWhite="1" r:id="rId1"/>
      <headerFooter alignWithMargins="0"/>
    </customSheetView>
  </customSheetViews>
  <mergeCells count="9">
    <mergeCell ref="C3:H3"/>
    <mergeCell ref="C5:H5"/>
    <mergeCell ref="B66:I67"/>
    <mergeCell ref="C68:H80"/>
    <mergeCell ref="C6:H6"/>
    <mergeCell ref="C7:H7"/>
    <mergeCell ref="C8:H8"/>
    <mergeCell ref="C9:H9"/>
    <mergeCell ref="C10:H10"/>
  </mergeCells>
  <printOptions horizontalCentered="1"/>
  <pageMargins left="0.25" right="0.25" top="0.5" bottom="0" header="0" footer="0"/>
  <pageSetup scale="70" fitToHeight="0"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9457" r:id="rId5" name="Button 1">
              <controlPr defaultSize="0" print="0" autoFill="0" autoPict="0" macro="[0]!BackMain">
                <anchor moveWithCells="1" sizeWithCells="1">
                  <from>
                    <xdr:col>1</xdr:col>
                    <xdr:colOff>30480</xdr:colOff>
                    <xdr:row>1</xdr:row>
                    <xdr:rowOff>137160</xdr:rowOff>
                  </from>
                  <to>
                    <xdr:col>2</xdr:col>
                    <xdr:colOff>22860</xdr:colOff>
                    <xdr:row>4</xdr:row>
                    <xdr:rowOff>60960</xdr:rowOff>
                  </to>
                </anchor>
              </controlPr>
            </control>
          </mc:Choice>
        </mc:AlternateContent>
        <mc:AlternateContent xmlns:mc="http://schemas.openxmlformats.org/markup-compatibility/2006">
          <mc:Choice Requires="x14">
            <control shapeId="19458" r:id="rId6" name="Button 2">
              <controlPr defaultSize="0" print="0" autoFill="0" autoPict="0" macro="[0]!BackMain">
                <anchor moveWithCells="1" sizeWithCells="1">
                  <from>
                    <xdr:col>7</xdr:col>
                    <xdr:colOff>838200</xdr:colOff>
                    <xdr:row>83</xdr:row>
                    <xdr:rowOff>7620</xdr:rowOff>
                  </from>
                  <to>
                    <xdr:col>9</xdr:col>
                    <xdr:colOff>7620</xdr:colOff>
                    <xdr:row>85</xdr:row>
                    <xdr:rowOff>121920</xdr:rowOff>
                  </to>
                </anchor>
              </controlPr>
            </control>
          </mc:Choice>
        </mc:AlternateContent>
        <mc:AlternateContent xmlns:mc="http://schemas.openxmlformats.org/markup-compatibility/2006">
          <mc:Choice Requires="x14">
            <control shapeId="19460" r:id="rId7" name="Button 4">
              <controlPr defaultSize="0" print="0" autoFill="0" autoPict="0" macro="[0]!PrintAttach14">
                <anchor moveWithCells="1" sizeWithCells="1">
                  <from>
                    <xdr:col>7</xdr:col>
                    <xdr:colOff>182880</xdr:colOff>
                    <xdr:row>2</xdr:row>
                    <xdr:rowOff>60960</xdr:rowOff>
                  </from>
                  <to>
                    <xdr:col>9</xdr:col>
                    <xdr:colOff>22860</xdr:colOff>
                    <xdr:row>4</xdr:row>
                    <xdr:rowOff>30480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pageSetUpPr fitToPage="1"/>
  </sheetPr>
  <dimension ref="A1:M278"/>
  <sheetViews>
    <sheetView showGridLines="0" zoomScaleNormal="100" workbookViewId="0">
      <selection activeCell="H62" sqref="H62"/>
    </sheetView>
  </sheetViews>
  <sheetFormatPr defaultRowHeight="13.2" x14ac:dyDescent="0.25"/>
  <cols>
    <col min="1" max="1" width="8.88671875" style="15"/>
    <col min="2" max="2" width="9.109375" style="15" customWidth="1"/>
    <col min="3" max="3" width="30.88671875" style="15" customWidth="1"/>
    <col min="4" max="4" width="14.109375" style="60" customWidth="1"/>
    <col min="5" max="9" width="14.6640625" style="60" customWidth="1"/>
    <col min="10" max="11" width="8.88671875" style="15"/>
    <col min="12" max="12" width="8.88671875" style="1909"/>
    <col min="13" max="13" width="8.88671875" style="17"/>
    <col min="14" max="16384" width="8.88671875" style="15"/>
  </cols>
  <sheetData>
    <row r="1" spans="1:13" s="28" customFormat="1" x14ac:dyDescent="0.25">
      <c r="A1" s="78"/>
      <c r="B1" s="518"/>
      <c r="C1" s="475"/>
      <c r="D1" s="899"/>
      <c r="E1" s="899"/>
      <c r="F1" s="899"/>
      <c r="G1" s="899"/>
      <c r="H1" s="899"/>
      <c r="I1" s="1044"/>
      <c r="J1" s="1044"/>
      <c r="K1" s="78"/>
      <c r="L1" s="1708"/>
      <c r="M1" s="57"/>
    </row>
    <row r="2" spans="1:13" s="28" customFormat="1" ht="26.1" customHeight="1" x14ac:dyDescent="0.25">
      <c r="A2" s="78"/>
      <c r="B2" s="475"/>
      <c r="C2" s="475"/>
      <c r="D2" s="899"/>
      <c r="E2" s="899"/>
      <c r="F2" s="899"/>
      <c r="G2" s="899"/>
      <c r="H2" s="899"/>
      <c r="I2" s="899"/>
      <c r="J2" s="78"/>
      <c r="K2" s="78"/>
      <c r="L2" s="1708"/>
      <c r="M2" s="57"/>
    </row>
    <row r="3" spans="1:13" s="28" customFormat="1" x14ac:dyDescent="0.25">
      <c r="A3" s="78"/>
      <c r="B3" s="610"/>
      <c r="C3" s="2611" t="str">
        <f>Utility</f>
        <v>Cleveland Water Utility</v>
      </c>
      <c r="D3" s="2611"/>
      <c r="E3" s="2611"/>
      <c r="F3" s="2611"/>
      <c r="G3" s="2611"/>
      <c r="H3" s="2611"/>
      <c r="I3" s="2611"/>
      <c r="J3" s="78"/>
      <c r="K3" s="78"/>
      <c r="L3" s="1708"/>
      <c r="M3" s="57"/>
    </row>
    <row r="4" spans="1:13" s="28" customFormat="1" x14ac:dyDescent="0.25">
      <c r="A4" s="78"/>
      <c r="B4" s="770"/>
      <c r="C4" s="2612" t="s">
        <v>628</v>
      </c>
      <c r="D4" s="2612"/>
      <c r="E4" s="2612"/>
      <c r="F4" s="2612"/>
      <c r="G4" s="2612"/>
      <c r="H4" s="2612"/>
      <c r="I4" s="2612"/>
      <c r="J4" s="78"/>
      <c r="K4" s="78"/>
      <c r="L4" s="1708"/>
      <c r="M4" s="57"/>
    </row>
    <row r="5" spans="1:13" s="28" customFormat="1" x14ac:dyDescent="0.25">
      <c r="A5" s="78"/>
      <c r="B5" s="518" t="str">
        <f>TestYear &amp; " Test Year"</f>
        <v>2023 Test Year</v>
      </c>
      <c r="C5" s="1045"/>
      <c r="D5" s="1046"/>
      <c r="E5" s="1046"/>
      <c r="F5" s="1046"/>
      <c r="G5" s="1046"/>
      <c r="H5" s="1046"/>
      <c r="I5" s="1047"/>
      <c r="J5" s="1044" t="s">
        <v>627</v>
      </c>
      <c r="K5" s="78"/>
      <c r="L5" s="1708"/>
      <c r="M5" s="57"/>
    </row>
    <row r="6" spans="1:13" x14ac:dyDescent="0.25">
      <c r="A6" s="299"/>
      <c r="B6" s="2224" t="s">
        <v>629</v>
      </c>
      <c r="C6" s="2225"/>
      <c r="D6" s="2225"/>
      <c r="E6" s="2225"/>
      <c r="F6" s="2225"/>
      <c r="G6" s="2225"/>
      <c r="H6" s="2225"/>
      <c r="I6" s="2225"/>
      <c r="J6" s="1910"/>
      <c r="K6" s="299"/>
    </row>
    <row r="7" spans="1:13" ht="14.4" customHeight="1" x14ac:dyDescent="0.25">
      <c r="A7" s="299"/>
      <c r="B7" s="2130"/>
      <c r="C7" s="1386" t="s">
        <v>1301</v>
      </c>
      <c r="D7" s="1048"/>
      <c r="E7" s="1048"/>
      <c r="F7" s="1048"/>
      <c r="G7" s="1048"/>
      <c r="H7" s="1048"/>
      <c r="I7" s="1048"/>
      <c r="J7" s="1911"/>
      <c r="K7" s="299"/>
    </row>
    <row r="8" spans="1:13" ht="13.8" x14ac:dyDescent="0.25">
      <c r="A8" s="299"/>
      <c r="B8" s="1925"/>
      <c r="C8" s="354"/>
      <c r="D8" s="1054"/>
      <c r="E8" s="1054"/>
      <c r="F8" s="1054"/>
      <c r="G8" s="1054"/>
      <c r="H8" s="1054"/>
      <c r="I8" s="1048"/>
      <c r="J8" s="1911"/>
      <c r="K8" s="299"/>
    </row>
    <row r="9" spans="1:13" ht="13.8" x14ac:dyDescent="0.25">
      <c r="A9" s="299"/>
      <c r="B9" s="360"/>
      <c r="C9" s="1053"/>
      <c r="D9" s="1055"/>
      <c r="E9" s="1050"/>
      <c r="F9" s="1056" t="str">
        <f>Data!H5</f>
        <v>Estimated</v>
      </c>
      <c r="G9" s="1050"/>
      <c r="H9" s="1056" t="s">
        <v>313</v>
      </c>
      <c r="I9" s="1049"/>
      <c r="J9" s="1911"/>
      <c r="K9" s="299"/>
    </row>
    <row r="10" spans="1:13" ht="13.8" x14ac:dyDescent="0.25">
      <c r="A10" s="299"/>
      <c r="B10" s="360"/>
      <c r="C10" s="1057" t="s">
        <v>315</v>
      </c>
      <c r="D10" s="1055"/>
      <c r="E10" s="1050"/>
      <c r="F10" s="1058">
        <f>TestYear -1</f>
        <v>2022</v>
      </c>
      <c r="G10" s="1050"/>
      <c r="H10" s="1059">
        <f>TestYear</f>
        <v>2023</v>
      </c>
      <c r="I10" s="1049"/>
      <c r="J10" s="1911"/>
      <c r="K10" s="299"/>
    </row>
    <row r="11" spans="1:13" ht="13.8" x14ac:dyDescent="0.25">
      <c r="A11" s="299"/>
      <c r="B11" s="360"/>
      <c r="C11" s="354"/>
      <c r="D11" s="1054"/>
      <c r="E11" s="1050"/>
      <c r="F11" s="1054"/>
      <c r="G11" s="1050"/>
      <c r="H11" s="1054"/>
      <c r="I11" s="1048"/>
      <c r="J11" s="1911"/>
      <c r="K11" s="299"/>
    </row>
    <row r="12" spans="1:13" ht="13.8" x14ac:dyDescent="0.25">
      <c r="A12" s="299"/>
      <c r="B12" s="359"/>
      <c r="C12" s="738" t="s">
        <v>630</v>
      </c>
      <c r="D12" s="1060"/>
      <c r="E12" s="1050"/>
      <c r="F12" s="1061"/>
      <c r="G12" s="1050"/>
      <c r="H12" s="1061"/>
      <c r="I12" s="1050"/>
      <c r="J12" s="1911"/>
      <c r="K12" s="299"/>
    </row>
    <row r="13" spans="1:13" ht="13.8" x14ac:dyDescent="0.25">
      <c r="A13" s="299"/>
      <c r="B13" s="359"/>
      <c r="C13" s="738" t="s">
        <v>631</v>
      </c>
      <c r="D13" s="1060"/>
      <c r="E13" s="1050"/>
      <c r="F13" s="1062"/>
      <c r="G13" s="1050"/>
      <c r="H13" s="1062"/>
      <c r="I13" s="1050"/>
      <c r="J13" s="1911"/>
      <c r="K13" s="299"/>
    </row>
    <row r="14" spans="1:13" ht="13.8" x14ac:dyDescent="0.25">
      <c r="A14" s="299"/>
      <c r="B14" s="359"/>
      <c r="C14" s="738" t="s">
        <v>632</v>
      </c>
      <c r="D14" s="1060"/>
      <c r="E14" s="1050"/>
      <c r="F14" s="1062"/>
      <c r="G14" s="1050"/>
      <c r="H14" s="1062"/>
      <c r="I14" s="1050"/>
      <c r="J14" s="1911"/>
      <c r="K14" s="299"/>
    </row>
    <row r="15" spans="1:13" ht="13.8" x14ac:dyDescent="0.25">
      <c r="A15" s="299"/>
      <c r="B15" s="359"/>
      <c r="C15" s="738" t="s">
        <v>633</v>
      </c>
      <c r="D15" s="1060"/>
      <c r="E15" s="1050"/>
      <c r="F15" s="1062"/>
      <c r="G15" s="1050"/>
      <c r="H15" s="1062"/>
      <c r="I15" s="1050"/>
      <c r="J15" s="1911"/>
      <c r="K15" s="299"/>
    </row>
    <row r="16" spans="1:13" ht="13.8" x14ac:dyDescent="0.25">
      <c r="A16" s="299"/>
      <c r="B16" s="359"/>
      <c r="C16" s="738" t="s">
        <v>634</v>
      </c>
      <c r="D16" s="1060"/>
      <c r="E16" s="1050"/>
      <c r="F16" s="1062"/>
      <c r="G16" s="1050"/>
      <c r="H16" s="1062"/>
      <c r="I16" s="1050"/>
      <c r="J16" s="1911"/>
      <c r="K16" s="299"/>
    </row>
    <row r="17" spans="1:13" ht="13.8" x14ac:dyDescent="0.25">
      <c r="A17" s="299"/>
      <c r="B17" s="359"/>
      <c r="C17" s="738" t="s">
        <v>635</v>
      </c>
      <c r="D17" s="1060"/>
      <c r="E17" s="1050"/>
      <c r="F17" s="1062"/>
      <c r="G17" s="1050"/>
      <c r="H17" s="1062"/>
      <c r="I17" s="1050"/>
      <c r="J17" s="1911"/>
      <c r="K17" s="299"/>
    </row>
    <row r="18" spans="1:13" ht="13.8" x14ac:dyDescent="0.25">
      <c r="A18" s="299"/>
      <c r="B18" s="359"/>
      <c r="C18" s="738" t="s">
        <v>636</v>
      </c>
      <c r="D18" s="1060"/>
      <c r="E18" s="1050"/>
      <c r="F18" s="1062">
        <v>643436</v>
      </c>
      <c r="G18" s="1050"/>
      <c r="H18" s="1062">
        <v>787504</v>
      </c>
      <c r="I18" s="1050"/>
      <c r="J18" s="1911"/>
      <c r="K18" s="299"/>
    </row>
    <row r="19" spans="1:13" ht="13.8" x14ac:dyDescent="0.25">
      <c r="A19" s="299"/>
      <c r="B19" s="359"/>
      <c r="C19" s="738" t="s">
        <v>637</v>
      </c>
      <c r="D19" s="1060"/>
      <c r="E19" s="1050"/>
      <c r="F19" s="1062"/>
      <c r="G19" s="1050"/>
      <c r="H19" s="1062"/>
      <c r="I19" s="1050"/>
      <c r="J19" s="1911"/>
      <c r="K19" s="299"/>
    </row>
    <row r="20" spans="1:13" ht="13.8" x14ac:dyDescent="0.25">
      <c r="A20" s="299"/>
      <c r="B20" s="359"/>
      <c r="C20" s="738" t="s">
        <v>638</v>
      </c>
      <c r="D20" s="1060"/>
      <c r="E20" s="1050"/>
      <c r="F20" s="1062"/>
      <c r="G20" s="1050"/>
      <c r="H20" s="1062"/>
      <c r="I20" s="1050"/>
      <c r="J20" s="1911"/>
      <c r="K20" s="299"/>
    </row>
    <row r="21" spans="1:13" ht="13.8" x14ac:dyDescent="0.25">
      <c r="A21" s="299"/>
      <c r="B21" s="359"/>
      <c r="C21" s="738" t="s">
        <v>639</v>
      </c>
      <c r="D21" s="1060"/>
      <c r="E21" s="1050"/>
      <c r="F21" s="1062"/>
      <c r="G21" s="1050"/>
      <c r="H21" s="1062"/>
      <c r="I21" s="1050"/>
      <c r="J21" s="1911"/>
      <c r="K21" s="299"/>
    </row>
    <row r="22" spans="1:13" ht="13.8" x14ac:dyDescent="0.25">
      <c r="A22" s="299"/>
      <c r="B22" s="359"/>
      <c r="C22" s="738" t="s">
        <v>640</v>
      </c>
      <c r="D22" s="1060"/>
      <c r="E22" s="1050"/>
      <c r="F22" s="1062"/>
      <c r="G22" s="1050"/>
      <c r="H22" s="1062"/>
      <c r="I22" s="1050"/>
      <c r="J22" s="1911"/>
      <c r="K22" s="299"/>
    </row>
    <row r="23" spans="1:13" ht="13.8" x14ac:dyDescent="0.25">
      <c r="A23" s="299"/>
      <c r="B23" s="359"/>
      <c r="C23" s="353"/>
      <c r="D23" s="1060"/>
      <c r="E23" s="1060"/>
      <c r="F23" s="1060"/>
      <c r="G23" s="1060"/>
      <c r="H23" s="1060"/>
      <c r="I23" s="1050"/>
      <c r="J23" s="1911"/>
      <c r="K23" s="299"/>
    </row>
    <row r="24" spans="1:13" ht="13.8" x14ac:dyDescent="0.25">
      <c r="A24" s="299"/>
      <c r="B24" s="359"/>
      <c r="C24" s="739" t="s">
        <v>172</v>
      </c>
      <c r="D24" s="1060"/>
      <c r="E24" s="1060"/>
      <c r="F24" s="1555">
        <f>SUM(F12:F22)</f>
        <v>643436</v>
      </c>
      <c r="G24" s="1555"/>
      <c r="H24" s="1555">
        <f>SUM(H12:H22)</f>
        <v>787504</v>
      </c>
      <c r="I24" s="1050"/>
      <c r="J24" s="1911"/>
      <c r="K24" s="299"/>
    </row>
    <row r="25" spans="1:13" ht="13.8" x14ac:dyDescent="0.25">
      <c r="A25" s="299"/>
      <c r="B25" s="359"/>
      <c r="C25" s="353"/>
      <c r="D25" s="1060"/>
      <c r="E25" s="1060"/>
      <c r="F25" s="1060"/>
      <c r="G25" s="1060"/>
      <c r="H25" s="1060"/>
      <c r="I25" s="1050"/>
      <c r="J25" s="1911"/>
      <c r="K25" s="299"/>
    </row>
    <row r="26" spans="1:13" s="46" customFormat="1" ht="13.8" x14ac:dyDescent="0.25">
      <c r="A26" s="301"/>
      <c r="B26" s="1926"/>
      <c r="C26" s="738" t="s">
        <v>1020</v>
      </c>
      <c r="D26" s="1063"/>
      <c r="E26" s="1051"/>
      <c r="F26" s="1556">
        <f>Attach11!E92</f>
        <v>643436</v>
      </c>
      <c r="G26" s="1557"/>
      <c r="H26" s="1556">
        <f>SUM(Attach11!I92+Attach11!K92)</f>
        <v>787505</v>
      </c>
      <c r="I26" s="1052"/>
      <c r="J26" s="1927"/>
      <c r="K26" s="301"/>
      <c r="L26" s="1913"/>
      <c r="M26" s="50"/>
    </row>
    <row r="27" spans="1:13" ht="13.8" x14ac:dyDescent="0.25">
      <c r="A27" s="299"/>
      <c r="B27" s="359"/>
      <c r="C27" s="738" t="s">
        <v>1021</v>
      </c>
      <c r="D27" s="1060"/>
      <c r="E27" s="1060"/>
      <c r="F27" s="1558">
        <f>Attach11a!E94</f>
        <v>0</v>
      </c>
      <c r="G27" s="1559"/>
      <c r="H27" s="1558">
        <f>SUM(Attach11a!I94+Attach11a!K94)</f>
        <v>274401</v>
      </c>
      <c r="I27" s="1050"/>
      <c r="J27" s="1911"/>
      <c r="K27" s="299"/>
    </row>
    <row r="28" spans="1:13" ht="13.8" x14ac:dyDescent="0.25">
      <c r="A28" s="299"/>
      <c r="B28" s="359"/>
      <c r="C28" s="739" t="s">
        <v>172</v>
      </c>
      <c r="D28" s="1060"/>
      <c r="E28" s="1060"/>
      <c r="F28" s="1555">
        <f>SUM(F26:F27)</f>
        <v>643436</v>
      </c>
      <c r="G28" s="1555"/>
      <c r="H28" s="1555">
        <f>SUM(H26:H27)</f>
        <v>1061906</v>
      </c>
      <c r="I28" s="1050"/>
      <c r="J28" s="1911"/>
      <c r="K28" s="299"/>
    </row>
    <row r="29" spans="1:13" ht="13.8" x14ac:dyDescent="0.25">
      <c r="A29" s="299"/>
      <c r="B29" s="359"/>
      <c r="C29" s="353"/>
      <c r="D29" s="1060"/>
      <c r="E29" s="1060"/>
      <c r="F29" s="1060"/>
      <c r="G29" s="1060"/>
      <c r="H29" s="1060"/>
      <c r="I29" s="1050"/>
      <c r="J29" s="1911"/>
      <c r="K29" s="299"/>
    </row>
    <row r="30" spans="1:13" ht="13.8" x14ac:dyDescent="0.25">
      <c r="A30" s="299"/>
      <c r="B30" s="1914"/>
      <c r="C30" s="1928" t="s">
        <v>1022</v>
      </c>
      <c r="D30" s="1915"/>
      <c r="E30" s="1915"/>
      <c r="F30" s="1915"/>
      <c r="G30" s="1915"/>
      <c r="H30" s="1915"/>
      <c r="I30" s="1915"/>
      <c r="J30" s="1912"/>
      <c r="K30" s="299"/>
    </row>
    <row r="31" spans="1:13" x14ac:dyDescent="0.25">
      <c r="A31" s="299"/>
      <c r="B31" s="305"/>
      <c r="C31" s="305"/>
      <c r="D31" s="1042"/>
      <c r="E31" s="1042"/>
      <c r="F31" s="1042"/>
      <c r="G31" s="1042"/>
      <c r="H31" s="1040"/>
      <c r="I31" s="1040"/>
      <c r="J31" s="299"/>
      <c r="K31" s="299"/>
    </row>
    <row r="32" spans="1:13" s="46" customFormat="1" x14ac:dyDescent="0.25">
      <c r="A32" s="301"/>
      <c r="B32" s="907"/>
      <c r="C32" s="1066"/>
      <c r="D32" s="1043"/>
      <c r="E32" s="1043"/>
      <c r="F32" s="1043"/>
      <c r="G32" s="1043"/>
      <c r="H32" s="1041"/>
      <c r="I32" s="1041"/>
      <c r="J32" s="301"/>
      <c r="K32" s="301"/>
      <c r="L32" s="1913"/>
      <c r="M32" s="50"/>
    </row>
    <row r="33" spans="1:13" s="46" customFormat="1" x14ac:dyDescent="0.25">
      <c r="A33" s="301"/>
      <c r="B33" s="2223" t="s">
        <v>1349</v>
      </c>
      <c r="C33" s="748"/>
      <c r="D33" s="1917"/>
      <c r="E33" s="1917"/>
      <c r="F33" s="1917"/>
      <c r="G33" s="1917"/>
      <c r="H33" s="1917"/>
      <c r="I33" s="1917"/>
      <c r="J33" s="1918"/>
      <c r="K33" s="301"/>
      <c r="L33" s="1913"/>
      <c r="M33" s="50"/>
    </row>
    <row r="34" spans="1:13" x14ac:dyDescent="0.25">
      <c r="A34" s="299"/>
      <c r="B34" s="2130"/>
      <c r="C34" s="2621" t="s">
        <v>1351</v>
      </c>
      <c r="D34" s="2621"/>
      <c r="E34" s="2621"/>
      <c r="F34" s="2621"/>
      <c r="G34" s="2621"/>
      <c r="H34" s="2621"/>
      <c r="I34" s="2621"/>
      <c r="J34" s="1911"/>
      <c r="K34" s="299"/>
    </row>
    <row r="35" spans="1:13" x14ac:dyDescent="0.25">
      <c r="A35" s="299"/>
      <c r="B35" s="2130"/>
      <c r="C35" s="2621" t="s">
        <v>1302</v>
      </c>
      <c r="D35" s="2621"/>
      <c r="E35" s="2621"/>
      <c r="F35" s="2621"/>
      <c r="G35" s="2621"/>
      <c r="H35" s="2621"/>
      <c r="I35" s="2621"/>
      <c r="J35" s="1911"/>
      <c r="K35" s="299"/>
    </row>
    <row r="36" spans="1:13" ht="27" customHeight="1" x14ac:dyDescent="0.25">
      <c r="A36" s="299"/>
      <c r="B36" s="2130"/>
      <c r="C36" s="2620" t="s">
        <v>1348</v>
      </c>
      <c r="D36" s="2620"/>
      <c r="E36" s="2620"/>
      <c r="F36" s="2620"/>
      <c r="G36" s="2620"/>
      <c r="H36" s="2620"/>
      <c r="I36" s="2620"/>
      <c r="J36" s="1911"/>
      <c r="K36" s="299"/>
    </row>
    <row r="37" spans="1:13" s="46" customFormat="1" x14ac:dyDescent="0.25">
      <c r="A37" s="301"/>
      <c r="B37" s="1919"/>
      <c r="C37" s="751" t="s">
        <v>1350</v>
      </c>
      <c r="D37" s="1064"/>
      <c r="E37" s="1064"/>
      <c r="F37" s="1064"/>
      <c r="G37" s="1064"/>
      <c r="H37" s="1064"/>
      <c r="I37" s="1064"/>
      <c r="J37" s="356"/>
      <c r="K37" s="301"/>
      <c r="L37" s="1913"/>
      <c r="M37" s="50"/>
    </row>
    <row r="38" spans="1:13" s="46" customFormat="1" x14ac:dyDescent="0.25">
      <c r="A38" s="301"/>
      <c r="B38" s="1919"/>
      <c r="C38" s="325"/>
      <c r="D38" s="1064"/>
      <c r="E38" s="1064"/>
      <c r="F38" s="1064"/>
      <c r="G38" s="1064"/>
      <c r="H38" s="1064"/>
      <c r="I38" s="1064"/>
      <c r="J38" s="356"/>
      <c r="K38" s="301"/>
      <c r="L38" s="1913"/>
      <c r="M38" s="50"/>
    </row>
    <row r="39" spans="1:13" s="46" customFormat="1" x14ac:dyDescent="0.25">
      <c r="A39" s="301"/>
      <c r="B39" s="1919"/>
      <c r="C39" s="325"/>
      <c r="D39" s="2592" t="str">
        <f>CONCATENATE(Data!H5, " ",TestYear-1)</f>
        <v>Estimated 2022</v>
      </c>
      <c r="E39" s="2619"/>
      <c r="F39" s="2592" t="str">
        <f>CONCATENATE("Estimated ",TestYear)</f>
        <v>Estimated 2023</v>
      </c>
      <c r="G39" s="2619"/>
      <c r="H39" s="2592" t="str">
        <f>CONCATENATE("Estimated ",TestYear+1)</f>
        <v>Estimated 2024</v>
      </c>
      <c r="I39" s="2619"/>
      <c r="J39" s="356"/>
      <c r="K39" s="301"/>
      <c r="L39" s="1913"/>
      <c r="M39" s="50"/>
    </row>
    <row r="40" spans="1:13" s="46" customFormat="1" x14ac:dyDescent="0.25">
      <c r="A40" s="301"/>
      <c r="B40" s="1919"/>
      <c r="C40" s="325"/>
      <c r="D40" s="1847" t="s">
        <v>265</v>
      </c>
      <c r="E40" s="1847" t="s">
        <v>641</v>
      </c>
      <c r="F40" s="1847" t="s">
        <v>265</v>
      </c>
      <c r="G40" s="1847" t="s">
        <v>641</v>
      </c>
      <c r="H40" s="1847" t="s">
        <v>265</v>
      </c>
      <c r="I40" s="1847" t="s">
        <v>641</v>
      </c>
      <c r="J40" s="356"/>
      <c r="K40" s="301"/>
      <c r="L40" s="1913"/>
      <c r="M40" s="50"/>
    </row>
    <row r="41" spans="1:13" s="46" customFormat="1" x14ac:dyDescent="0.25">
      <c r="A41" s="301"/>
      <c r="B41" s="1919"/>
      <c r="C41" s="325"/>
      <c r="D41" s="1067" t="s">
        <v>642</v>
      </c>
      <c r="E41" s="1068" t="s">
        <v>643</v>
      </c>
      <c r="F41" s="1067" t="s">
        <v>642</v>
      </c>
      <c r="G41" s="1068" t="s">
        <v>643</v>
      </c>
      <c r="H41" s="1067" t="s">
        <v>642</v>
      </c>
      <c r="I41" s="1068" t="s">
        <v>643</v>
      </c>
      <c r="J41" s="356"/>
      <c r="K41" s="301"/>
      <c r="L41" s="1913"/>
      <c r="M41" s="50"/>
    </row>
    <row r="42" spans="1:13" s="46" customFormat="1" x14ac:dyDescent="0.25">
      <c r="A42" s="301"/>
      <c r="B42" s="1920"/>
      <c r="C42" s="1848" t="s">
        <v>315</v>
      </c>
      <c r="D42" s="1069" t="s">
        <v>868</v>
      </c>
      <c r="E42" s="1070" t="s">
        <v>644</v>
      </c>
      <c r="F42" s="1069" t="s">
        <v>868</v>
      </c>
      <c r="G42" s="1073" t="str">
        <f>E42</f>
        <v>End of Year</v>
      </c>
      <c r="H42" s="1074" t="s">
        <v>868</v>
      </c>
      <c r="I42" s="1073" t="str">
        <f>G42</f>
        <v>End of Year</v>
      </c>
      <c r="J42" s="356"/>
      <c r="K42" s="301"/>
      <c r="L42" s="1913"/>
      <c r="M42" s="50"/>
    </row>
    <row r="43" spans="1:13" x14ac:dyDescent="0.25">
      <c r="A43" s="299"/>
      <c r="B43" s="1919"/>
      <c r="C43" s="325"/>
      <c r="D43" s="1064"/>
      <c r="E43" s="1064"/>
      <c r="F43" s="1064"/>
      <c r="G43" s="1064"/>
      <c r="H43" s="1064"/>
      <c r="I43" s="1064"/>
      <c r="J43" s="356"/>
      <c r="K43" s="299"/>
    </row>
    <row r="44" spans="1:13" x14ac:dyDescent="0.25">
      <c r="A44" s="299"/>
      <c r="B44" s="1921" t="s">
        <v>869</v>
      </c>
      <c r="C44" s="325"/>
      <c r="D44" s="1072"/>
      <c r="E44" s="1072"/>
      <c r="F44" s="1072"/>
      <c r="G44" s="1072"/>
      <c r="H44" s="1072"/>
      <c r="I44" s="1072"/>
      <c r="J44" s="356"/>
      <c r="K44" s="299"/>
    </row>
    <row r="45" spans="1:13" x14ac:dyDescent="0.25">
      <c r="A45" s="299"/>
      <c r="B45" s="1919"/>
      <c r="C45" s="325"/>
      <c r="D45" s="1176"/>
      <c r="E45" s="1176"/>
      <c r="F45" s="1176"/>
      <c r="G45" s="1176"/>
      <c r="H45" s="1176"/>
      <c r="I45" s="1176"/>
      <c r="J45" s="356"/>
      <c r="K45" s="299"/>
    </row>
    <row r="46" spans="1:13" x14ac:dyDescent="0.25">
      <c r="A46" s="299"/>
      <c r="B46" s="1919"/>
      <c r="C46" s="1336" t="s">
        <v>1523</v>
      </c>
      <c r="D46" s="1175">
        <v>23674</v>
      </c>
      <c r="E46" s="1175">
        <v>665000</v>
      </c>
      <c r="F46" s="1175">
        <v>46318</v>
      </c>
      <c r="G46" s="1175">
        <v>665000</v>
      </c>
      <c r="H46" s="1175">
        <v>45418</v>
      </c>
      <c r="I46" s="1175">
        <v>643197</v>
      </c>
      <c r="J46" s="356"/>
      <c r="K46" s="299"/>
    </row>
    <row r="47" spans="1:13" x14ac:dyDescent="0.25">
      <c r="A47" s="299"/>
      <c r="B47" s="1919"/>
      <c r="C47" s="1337" t="s">
        <v>1524</v>
      </c>
      <c r="D47" s="1071">
        <v>828</v>
      </c>
      <c r="E47" s="1071">
        <v>81367</v>
      </c>
      <c r="F47" s="1071">
        <v>694</v>
      </c>
      <c r="G47" s="1071">
        <v>72672</v>
      </c>
      <c r="H47" s="1071">
        <v>567</v>
      </c>
      <c r="I47" s="1071">
        <v>64287</v>
      </c>
      <c r="J47" s="356"/>
      <c r="K47" s="299"/>
    </row>
    <row r="48" spans="1:13" x14ac:dyDescent="0.25">
      <c r="A48" s="299"/>
      <c r="B48" s="1919"/>
      <c r="C48" s="1337" t="s">
        <v>1522</v>
      </c>
      <c r="D48" s="1071">
        <v>0</v>
      </c>
      <c r="E48" s="1071">
        <v>100204</v>
      </c>
      <c r="F48" s="1071">
        <v>0</v>
      </c>
      <c r="G48" s="1071">
        <v>93527</v>
      </c>
      <c r="H48" s="1071">
        <v>0</v>
      </c>
      <c r="I48" s="1071">
        <v>86850</v>
      </c>
      <c r="J48" s="356"/>
      <c r="K48" s="299"/>
    </row>
    <row r="49" spans="1:11" x14ac:dyDescent="0.25">
      <c r="A49" s="299"/>
      <c r="B49" s="1919"/>
      <c r="C49" s="1337" t="s">
        <v>1525</v>
      </c>
      <c r="D49" s="1071">
        <f>1175</f>
        <v>1175</v>
      </c>
      <c r="E49" s="1071">
        <f>ROUND(117477*0.9,0)</f>
        <v>105729</v>
      </c>
      <c r="F49" s="1071">
        <v>1057</v>
      </c>
      <c r="G49" s="1071">
        <f>ROUND(117477*0.8,0)</f>
        <v>93982</v>
      </c>
      <c r="H49" s="1071">
        <v>940</v>
      </c>
      <c r="I49" s="1071">
        <f>ROUND(117477*0.7,0)</f>
        <v>82234</v>
      </c>
      <c r="J49" s="356"/>
      <c r="K49" s="299"/>
    </row>
    <row r="50" spans="1:11" x14ac:dyDescent="0.25">
      <c r="A50" s="299"/>
      <c r="B50" s="1919"/>
      <c r="C50" s="1337" t="s">
        <v>1526</v>
      </c>
      <c r="D50" s="1071">
        <v>1057</v>
      </c>
      <c r="E50" s="1071">
        <v>140940</v>
      </c>
      <c r="F50" s="1071">
        <v>1409</v>
      </c>
      <c r="G50" s="1071">
        <f>ROUND(140940*0.9,0)</f>
        <v>126846</v>
      </c>
      <c r="H50" s="1071">
        <v>1268</v>
      </c>
      <c r="I50" s="1071">
        <f>ROUND(140940*0.8,0)</f>
        <v>112752</v>
      </c>
      <c r="J50" s="356"/>
      <c r="K50" s="299"/>
    </row>
    <row r="51" spans="1:11" x14ac:dyDescent="0.25">
      <c r="A51" s="299"/>
      <c r="B51" s="1919"/>
      <c r="C51" s="1337" t="s">
        <v>1527</v>
      </c>
      <c r="D51" s="1071"/>
      <c r="E51" s="1071"/>
      <c r="F51" s="1071">
        <v>1750</v>
      </c>
      <c r="G51" s="1071">
        <v>350000</v>
      </c>
      <c r="H51" s="1071">
        <v>3500</v>
      </c>
      <c r="I51" s="1071">
        <v>334105</v>
      </c>
      <c r="J51" s="356"/>
      <c r="K51" s="299"/>
    </row>
    <row r="52" spans="1:11" x14ac:dyDescent="0.25">
      <c r="A52" s="299"/>
      <c r="B52" s="1919"/>
      <c r="C52" s="1337" t="s">
        <v>1535</v>
      </c>
      <c r="D52" s="1071"/>
      <c r="E52" s="1071"/>
      <c r="F52" s="1071">
        <v>7563</v>
      </c>
      <c r="G52" s="1071">
        <v>275000</v>
      </c>
      <c r="H52" s="1071">
        <v>15098</v>
      </c>
      <c r="I52" s="1071">
        <v>267105</v>
      </c>
      <c r="J52" s="356"/>
      <c r="K52" s="299"/>
    </row>
    <row r="53" spans="1:11" x14ac:dyDescent="0.25">
      <c r="A53" s="299"/>
      <c r="B53" s="1919"/>
      <c r="C53" s="1337"/>
      <c r="D53" s="1071"/>
      <c r="E53" s="1071"/>
      <c r="F53" s="1071"/>
      <c r="G53" s="1071"/>
      <c r="H53" s="1071"/>
      <c r="I53" s="1071"/>
      <c r="J53" s="356"/>
      <c r="K53" s="299"/>
    </row>
    <row r="54" spans="1:11" x14ac:dyDescent="0.25">
      <c r="A54" s="299"/>
      <c r="B54" s="1919"/>
      <c r="C54" s="1337"/>
      <c r="D54" s="1071"/>
      <c r="E54" s="1071"/>
      <c r="F54" s="1071"/>
      <c r="G54" s="1071"/>
      <c r="H54" s="1071"/>
      <c r="I54" s="1071"/>
      <c r="J54" s="356"/>
      <c r="K54" s="299"/>
    </row>
    <row r="55" spans="1:11" x14ac:dyDescent="0.25">
      <c r="A55" s="299"/>
      <c r="B55" s="1919"/>
      <c r="C55" s="1337"/>
      <c r="D55" s="1071"/>
      <c r="E55" s="1071"/>
      <c r="F55" s="1071"/>
      <c r="G55" s="1071"/>
      <c r="H55" s="1071"/>
      <c r="I55" s="1071"/>
      <c r="J55" s="356"/>
      <c r="K55" s="299"/>
    </row>
    <row r="56" spans="1:11" x14ac:dyDescent="0.25">
      <c r="A56" s="299"/>
      <c r="B56" s="1919"/>
      <c r="C56" s="1337"/>
      <c r="D56" s="1071"/>
      <c r="E56" s="1071"/>
      <c r="F56" s="1071"/>
      <c r="G56" s="1071"/>
      <c r="H56" s="1071"/>
      <c r="I56" s="1071"/>
      <c r="J56" s="356"/>
      <c r="K56" s="299"/>
    </row>
    <row r="57" spans="1:11" x14ac:dyDescent="0.25">
      <c r="A57" s="299"/>
      <c r="B57" s="1919"/>
      <c r="C57" s="1337"/>
      <c r="D57" s="1071"/>
      <c r="E57" s="1071"/>
      <c r="F57" s="1071"/>
      <c r="G57" s="1071"/>
      <c r="H57" s="1071"/>
      <c r="I57" s="1071"/>
      <c r="J57" s="356"/>
      <c r="K57" s="299"/>
    </row>
    <row r="58" spans="1:11" x14ac:dyDescent="0.25">
      <c r="A58" s="299"/>
      <c r="B58" s="1919"/>
      <c r="C58" s="1337"/>
      <c r="D58" s="1071"/>
      <c r="E58" s="1071"/>
      <c r="F58" s="1071"/>
      <c r="G58" s="1071"/>
      <c r="H58" s="1071"/>
      <c r="I58" s="1071"/>
      <c r="J58" s="356"/>
      <c r="K58" s="299"/>
    </row>
    <row r="59" spans="1:11" x14ac:dyDescent="0.25">
      <c r="A59" s="299"/>
      <c r="B59" s="1919"/>
      <c r="C59" s="1337"/>
      <c r="D59" s="1071"/>
      <c r="E59" s="1071"/>
      <c r="F59" s="1071"/>
      <c r="G59" s="1071"/>
      <c r="H59" s="1071"/>
      <c r="I59" s="1071"/>
      <c r="J59" s="356"/>
      <c r="K59" s="299"/>
    </row>
    <row r="60" spans="1:11" x14ac:dyDescent="0.25">
      <c r="A60" s="299"/>
      <c r="B60" s="1919"/>
      <c r="C60" s="1337"/>
      <c r="D60" s="1071"/>
      <c r="E60" s="1071"/>
      <c r="F60" s="1071"/>
      <c r="G60" s="1071"/>
      <c r="H60" s="1071"/>
      <c r="I60" s="1071"/>
      <c r="J60" s="356"/>
      <c r="K60" s="299"/>
    </row>
    <row r="61" spans="1:11" x14ac:dyDescent="0.25">
      <c r="A61" s="299"/>
      <c r="B61" s="1919"/>
      <c r="C61" s="1337"/>
      <c r="D61" s="1071"/>
      <c r="E61" s="1071"/>
      <c r="F61" s="1071"/>
      <c r="G61" s="1071"/>
      <c r="H61" s="1071"/>
      <c r="I61" s="1071"/>
      <c r="J61" s="356"/>
      <c r="K61" s="299"/>
    </row>
    <row r="62" spans="1:11" x14ac:dyDescent="0.25">
      <c r="A62" s="299"/>
      <c r="B62" s="1919"/>
      <c r="C62" s="1337"/>
      <c r="D62" s="1071"/>
      <c r="E62" s="1071"/>
      <c r="F62" s="1071"/>
      <c r="G62" s="1071"/>
      <c r="H62" s="1071"/>
      <c r="I62" s="1071"/>
      <c r="J62" s="356"/>
      <c r="K62" s="299"/>
    </row>
    <row r="63" spans="1:11" x14ac:dyDescent="0.25">
      <c r="A63" s="299"/>
      <c r="B63" s="1919"/>
      <c r="C63" s="1338"/>
      <c r="D63" s="1071"/>
      <c r="E63" s="1071"/>
      <c r="F63" s="1071"/>
      <c r="G63" s="1071"/>
      <c r="H63" s="1071"/>
      <c r="I63" s="1071"/>
      <c r="J63" s="356"/>
      <c r="K63" s="299"/>
    </row>
    <row r="64" spans="1:11" x14ac:dyDescent="0.25">
      <c r="A64" s="299"/>
      <c r="B64" s="1919"/>
      <c r="C64" s="325"/>
      <c r="D64" s="1072"/>
      <c r="E64" s="1072"/>
      <c r="F64" s="1072"/>
      <c r="G64" s="1072"/>
      <c r="H64" s="1072"/>
      <c r="I64" s="1072"/>
      <c r="J64" s="356"/>
      <c r="K64" s="299"/>
    </row>
    <row r="65" spans="1:13" x14ac:dyDescent="0.25">
      <c r="A65" s="299"/>
      <c r="B65" s="1919"/>
      <c r="C65" s="325"/>
      <c r="D65" s="1072"/>
      <c r="E65" s="1072"/>
      <c r="F65" s="1072"/>
      <c r="G65" s="1072"/>
      <c r="H65" s="1072"/>
      <c r="I65" s="1072"/>
      <c r="J65" s="356"/>
      <c r="K65" s="299"/>
    </row>
    <row r="66" spans="1:13" x14ac:dyDescent="0.25">
      <c r="A66" s="299"/>
      <c r="B66" s="1919"/>
      <c r="C66" s="325"/>
      <c r="D66" s="1072"/>
      <c r="E66" s="1072"/>
      <c r="F66" s="1072"/>
      <c r="G66" s="1072"/>
      <c r="H66" s="1072"/>
      <c r="I66" s="1072"/>
      <c r="J66" s="356"/>
      <c r="K66" s="299"/>
    </row>
    <row r="67" spans="1:13" s="46" customFormat="1" ht="13.8" thickBot="1" x14ac:dyDescent="0.3">
      <c r="A67" s="301"/>
      <c r="B67" s="1919"/>
      <c r="C67" s="751" t="s">
        <v>645</v>
      </c>
      <c r="D67" s="1065">
        <f t="shared" ref="D67:I67" si="0">SUM(D43:D66)</f>
        <v>26734</v>
      </c>
      <c r="E67" s="1065">
        <f t="shared" si="0"/>
        <v>1093240</v>
      </c>
      <c r="F67" s="1065">
        <f t="shared" si="0"/>
        <v>58791</v>
      </c>
      <c r="G67" s="1065">
        <f t="shared" si="0"/>
        <v>1677027</v>
      </c>
      <c r="H67" s="1065">
        <f t="shared" si="0"/>
        <v>66791</v>
      </c>
      <c r="I67" s="1065">
        <f t="shared" si="0"/>
        <v>1590530</v>
      </c>
      <c r="J67" s="356"/>
      <c r="K67" s="301"/>
      <c r="L67" s="1913"/>
      <c r="M67" s="50"/>
    </row>
    <row r="68" spans="1:13" ht="13.8" thickTop="1" x14ac:dyDescent="0.25">
      <c r="A68" s="299"/>
      <c r="B68" s="1919"/>
      <c r="C68" s="325"/>
      <c r="D68" s="1064"/>
      <c r="E68" s="1064"/>
      <c r="F68" s="1064"/>
      <c r="G68" s="1064"/>
      <c r="H68" s="1064"/>
      <c r="I68" s="1064"/>
      <c r="J68" s="356"/>
      <c r="K68" s="299"/>
    </row>
    <row r="69" spans="1:13" x14ac:dyDescent="0.25">
      <c r="A69" s="299"/>
      <c r="B69" s="1921" t="s">
        <v>646</v>
      </c>
      <c r="C69" s="325" t="s">
        <v>647</v>
      </c>
      <c r="D69" s="1064"/>
      <c r="E69" s="1064"/>
      <c r="F69" s="1064"/>
      <c r="G69" s="1064"/>
      <c r="H69" s="1064"/>
      <c r="I69" s="1064"/>
      <c r="J69" s="356"/>
      <c r="K69" s="299"/>
    </row>
    <row r="70" spans="1:13" x14ac:dyDescent="0.25">
      <c r="A70" s="299"/>
      <c r="B70" s="1919"/>
      <c r="C70" s="325" t="s">
        <v>648</v>
      </c>
      <c r="D70" s="1064"/>
      <c r="E70" s="1064"/>
      <c r="F70" s="1064"/>
      <c r="G70" s="1064"/>
      <c r="H70" s="1064"/>
      <c r="I70" s="1064"/>
      <c r="J70" s="356"/>
      <c r="K70" s="299"/>
    </row>
    <row r="71" spans="1:13" x14ac:dyDescent="0.25">
      <c r="A71" s="299"/>
      <c r="B71" s="1920"/>
      <c r="C71" s="1922"/>
      <c r="D71" s="1923"/>
      <c r="E71" s="1923"/>
      <c r="F71" s="1923"/>
      <c r="G71" s="1923"/>
      <c r="H71" s="1923"/>
      <c r="I71" s="1923"/>
      <c r="J71" s="1924"/>
      <c r="K71" s="299"/>
    </row>
    <row r="72" spans="1:13" x14ac:dyDescent="0.25">
      <c r="A72" s="299"/>
      <c r="B72" s="299"/>
      <c r="C72" s="299"/>
      <c r="D72" s="1040"/>
      <c r="E72" s="1040"/>
      <c r="F72" s="1040"/>
      <c r="G72" s="1040"/>
      <c r="H72" s="1040"/>
      <c r="I72" s="1040"/>
      <c r="J72" s="299"/>
      <c r="K72" s="299"/>
    </row>
    <row r="73" spans="1:13" x14ac:dyDescent="0.25">
      <c r="A73" s="299"/>
      <c r="B73" s="2613" t="s">
        <v>1232</v>
      </c>
      <c r="C73" s="2614"/>
      <c r="D73" s="2614"/>
      <c r="E73" s="2614"/>
      <c r="F73" s="2614"/>
      <c r="G73" s="2614"/>
      <c r="H73" s="2614"/>
      <c r="I73" s="2614"/>
      <c r="J73" s="2615"/>
      <c r="K73" s="299"/>
    </row>
    <row r="74" spans="1:13" x14ac:dyDescent="0.25">
      <c r="A74" s="299"/>
      <c r="B74" s="2616"/>
      <c r="C74" s="2617"/>
      <c r="D74" s="2617"/>
      <c r="E74" s="2617"/>
      <c r="F74" s="2617"/>
      <c r="G74" s="2617"/>
      <c r="H74" s="2617"/>
      <c r="I74" s="2617"/>
      <c r="J74" s="2618"/>
      <c r="K74" s="299"/>
    </row>
    <row r="75" spans="1:13" x14ac:dyDescent="0.25">
      <c r="A75" s="299"/>
      <c r="B75" s="908"/>
      <c r="C75" s="2292" t="s">
        <v>1544</v>
      </c>
      <c r="D75" s="2293"/>
      <c r="E75" s="2293"/>
      <c r="F75" s="2293"/>
      <c r="G75" s="2293"/>
      <c r="H75" s="2293"/>
      <c r="I75" s="2294"/>
      <c r="J75" s="1911"/>
      <c r="K75" s="299"/>
    </row>
    <row r="76" spans="1:13" x14ac:dyDescent="0.25">
      <c r="A76" s="299"/>
      <c r="B76" s="908"/>
      <c r="C76" s="2295"/>
      <c r="D76" s="2296"/>
      <c r="E76" s="2296"/>
      <c r="F76" s="2296"/>
      <c r="G76" s="2296"/>
      <c r="H76" s="2296"/>
      <c r="I76" s="2297"/>
      <c r="J76" s="1911"/>
      <c r="K76" s="299"/>
    </row>
    <row r="77" spans="1:13" x14ac:dyDescent="0.25">
      <c r="A77" s="299"/>
      <c r="B77" s="908"/>
      <c r="C77" s="2295"/>
      <c r="D77" s="2296"/>
      <c r="E77" s="2296"/>
      <c r="F77" s="2296"/>
      <c r="G77" s="2296"/>
      <c r="H77" s="2296"/>
      <c r="I77" s="2297"/>
      <c r="J77" s="1911"/>
      <c r="K77" s="299"/>
    </row>
    <row r="78" spans="1:13" x14ac:dyDescent="0.25">
      <c r="A78" s="299"/>
      <c r="B78" s="908"/>
      <c r="C78" s="2295"/>
      <c r="D78" s="2296"/>
      <c r="E78" s="2296"/>
      <c r="F78" s="2296"/>
      <c r="G78" s="2296"/>
      <c r="H78" s="2296"/>
      <c r="I78" s="2297"/>
      <c r="J78" s="1911"/>
      <c r="K78" s="299"/>
    </row>
    <row r="79" spans="1:13" x14ac:dyDescent="0.25">
      <c r="A79" s="299"/>
      <c r="B79" s="908"/>
      <c r="C79" s="2295"/>
      <c r="D79" s="2296"/>
      <c r="E79" s="2296"/>
      <c r="F79" s="2296"/>
      <c r="G79" s="2296"/>
      <c r="H79" s="2296"/>
      <c r="I79" s="2297"/>
      <c r="J79" s="1911"/>
      <c r="K79" s="299"/>
    </row>
    <row r="80" spans="1:13" x14ac:dyDescent="0.25">
      <c r="A80" s="299"/>
      <c r="B80" s="908"/>
      <c r="C80" s="2295"/>
      <c r="D80" s="2296"/>
      <c r="E80" s="2296"/>
      <c r="F80" s="2296"/>
      <c r="G80" s="2296"/>
      <c r="H80" s="2296"/>
      <c r="I80" s="2297"/>
      <c r="J80" s="1911"/>
      <c r="K80" s="299"/>
    </row>
    <row r="81" spans="1:11" x14ac:dyDescent="0.25">
      <c r="A81" s="299"/>
      <c r="B81" s="908"/>
      <c r="C81" s="2295"/>
      <c r="D81" s="2296"/>
      <c r="E81" s="2296"/>
      <c r="F81" s="2296"/>
      <c r="G81" s="2296"/>
      <c r="H81" s="2296"/>
      <c r="I81" s="2297"/>
      <c r="J81" s="1911"/>
      <c r="K81" s="299"/>
    </row>
    <row r="82" spans="1:11" x14ac:dyDescent="0.25">
      <c r="A82" s="299"/>
      <c r="B82" s="908"/>
      <c r="C82" s="2295"/>
      <c r="D82" s="2296"/>
      <c r="E82" s="2296"/>
      <c r="F82" s="2296"/>
      <c r="G82" s="2296"/>
      <c r="H82" s="2296"/>
      <c r="I82" s="2297"/>
      <c r="J82" s="1911"/>
      <c r="K82" s="299"/>
    </row>
    <row r="83" spans="1:11" x14ac:dyDescent="0.25">
      <c r="A83" s="299"/>
      <c r="B83" s="908"/>
      <c r="C83" s="2295"/>
      <c r="D83" s="2296"/>
      <c r="E83" s="2296"/>
      <c r="F83" s="2296"/>
      <c r="G83" s="2296"/>
      <c r="H83" s="2296"/>
      <c r="I83" s="2297"/>
      <c r="J83" s="1911"/>
      <c r="K83" s="299"/>
    </row>
    <row r="84" spans="1:11" x14ac:dyDescent="0.25">
      <c r="A84" s="299"/>
      <c r="B84" s="908"/>
      <c r="C84" s="2298"/>
      <c r="D84" s="2299"/>
      <c r="E84" s="2299"/>
      <c r="F84" s="2299"/>
      <c r="G84" s="2299"/>
      <c r="H84" s="2299"/>
      <c r="I84" s="2300"/>
      <c r="J84" s="1911"/>
      <c r="K84" s="299"/>
    </row>
    <row r="85" spans="1:11" x14ac:dyDescent="0.25">
      <c r="A85" s="299"/>
      <c r="B85" s="1914"/>
      <c r="C85" s="1745"/>
      <c r="D85" s="1915"/>
      <c r="E85" s="1915"/>
      <c r="F85" s="1915"/>
      <c r="G85" s="1915"/>
      <c r="H85" s="1915"/>
      <c r="I85" s="1915"/>
      <c r="J85" s="1912"/>
      <c r="K85" s="299"/>
    </row>
    <row r="86" spans="1:11" x14ac:dyDescent="0.25">
      <c r="A86" s="299"/>
      <c r="B86" s="299"/>
      <c r="C86" s="299"/>
      <c r="D86" s="1040"/>
      <c r="E86" s="1040"/>
      <c r="F86" s="1040"/>
      <c r="G86" s="1040"/>
      <c r="H86" s="1040"/>
      <c r="I86" s="1040"/>
      <c r="J86" s="299"/>
      <c r="K86" s="299"/>
    </row>
    <row r="87" spans="1:11" x14ac:dyDescent="0.25">
      <c r="A87" s="299"/>
      <c r="B87" s="299"/>
      <c r="C87" s="299"/>
      <c r="D87" s="1040"/>
      <c r="E87" s="1040"/>
      <c r="F87" s="1040"/>
      <c r="G87" s="1040"/>
      <c r="H87" s="1040"/>
      <c r="I87" s="1040"/>
      <c r="J87" s="299"/>
      <c r="K87" s="299"/>
    </row>
    <row r="88" spans="1:11" x14ac:dyDescent="0.25">
      <c r="A88" s="299"/>
      <c r="B88" s="299"/>
      <c r="C88" s="299"/>
      <c r="D88" s="1040"/>
      <c r="E88" s="1040"/>
      <c r="F88" s="1040"/>
      <c r="G88" s="1040"/>
      <c r="H88" s="1040"/>
      <c r="I88" s="1040"/>
      <c r="J88" s="299"/>
      <c r="K88" s="299"/>
    </row>
    <row r="89" spans="1:11" x14ac:dyDescent="0.25">
      <c r="A89" s="299"/>
      <c r="B89" s="299"/>
      <c r="C89" s="299"/>
      <c r="D89" s="1040"/>
      <c r="E89" s="1040"/>
      <c r="F89" s="1040"/>
      <c r="G89" s="1040"/>
      <c r="H89" s="1040"/>
      <c r="I89" s="1040"/>
      <c r="J89" s="299"/>
      <c r="K89" s="299"/>
    </row>
    <row r="90" spans="1:11" x14ac:dyDescent="0.25">
      <c r="A90" s="299"/>
      <c r="B90" s="299"/>
      <c r="C90" s="299"/>
      <c r="D90" s="1040"/>
      <c r="E90" s="1040"/>
      <c r="F90" s="1040"/>
      <c r="G90" s="1040"/>
      <c r="H90" s="1040"/>
      <c r="I90" s="1040"/>
      <c r="J90" s="299"/>
      <c r="K90" s="299"/>
    </row>
    <row r="91" spans="1:11" x14ac:dyDescent="0.25">
      <c r="A91" s="1909"/>
      <c r="B91" s="1909"/>
      <c r="C91" s="1909"/>
      <c r="D91" s="1916"/>
      <c r="E91" s="1916"/>
      <c r="F91" s="1916"/>
      <c r="G91" s="1916"/>
      <c r="H91" s="1916"/>
      <c r="I91" s="1916"/>
      <c r="J91" s="1909"/>
      <c r="K91" s="1909"/>
    </row>
    <row r="92" spans="1:11" x14ac:dyDescent="0.25">
      <c r="A92" s="1909"/>
      <c r="B92" s="1909"/>
      <c r="C92" s="1909"/>
      <c r="D92" s="1916"/>
      <c r="E92" s="1916"/>
      <c r="F92" s="1916"/>
      <c r="G92" s="1916"/>
      <c r="H92" s="1916"/>
      <c r="I92" s="1916"/>
      <c r="J92" s="1909"/>
      <c r="K92" s="1909"/>
    </row>
    <row r="93" spans="1:11" x14ac:dyDescent="0.25">
      <c r="A93" s="1909"/>
      <c r="B93" s="1909"/>
      <c r="C93" s="1909"/>
      <c r="D93" s="1916"/>
      <c r="E93" s="1916"/>
      <c r="F93" s="1916"/>
      <c r="G93" s="1916"/>
      <c r="H93" s="1916"/>
      <c r="I93" s="1916"/>
      <c r="J93" s="1909"/>
      <c r="K93" s="1909"/>
    </row>
    <row r="94" spans="1:11" x14ac:dyDescent="0.25">
      <c r="A94" s="1909"/>
      <c r="B94" s="1909"/>
      <c r="C94" s="1909"/>
      <c r="D94" s="1916"/>
      <c r="E94" s="1916"/>
      <c r="F94" s="1916"/>
      <c r="G94" s="1916"/>
      <c r="H94" s="1916"/>
      <c r="I94" s="1916"/>
      <c r="J94" s="1909"/>
      <c r="K94" s="1909"/>
    </row>
    <row r="95" spans="1:11" x14ac:dyDescent="0.25">
      <c r="A95" s="1909"/>
      <c r="B95" s="1909"/>
      <c r="C95" s="1909"/>
      <c r="D95" s="1916"/>
      <c r="E95" s="1916"/>
      <c r="F95" s="1916"/>
      <c r="G95" s="1916"/>
      <c r="H95" s="1916"/>
      <c r="I95" s="1916"/>
      <c r="J95" s="1909"/>
      <c r="K95" s="1909"/>
    </row>
    <row r="96" spans="1:11" x14ac:dyDescent="0.25">
      <c r="A96" s="1909"/>
      <c r="B96" s="1909"/>
      <c r="C96" s="1909"/>
      <c r="D96" s="1916"/>
      <c r="E96" s="1916"/>
      <c r="F96" s="1916"/>
      <c r="G96" s="1916"/>
      <c r="H96" s="1916"/>
      <c r="I96" s="1916"/>
      <c r="J96" s="1909"/>
      <c r="K96" s="1909"/>
    </row>
    <row r="97" spans="1:11" x14ac:dyDescent="0.25">
      <c r="A97" s="1909"/>
      <c r="B97" s="1909"/>
      <c r="C97" s="1909"/>
      <c r="D97" s="1916"/>
      <c r="E97" s="1916"/>
      <c r="F97" s="1916"/>
      <c r="G97" s="1916"/>
      <c r="H97" s="1916"/>
      <c r="I97" s="1916"/>
      <c r="J97" s="1909"/>
      <c r="K97" s="1909"/>
    </row>
    <row r="98" spans="1:11" x14ac:dyDescent="0.25">
      <c r="A98" s="1909"/>
      <c r="B98" s="1909"/>
      <c r="C98" s="1909"/>
      <c r="D98" s="1916"/>
      <c r="E98" s="1916"/>
      <c r="F98" s="1916"/>
      <c r="G98" s="1916"/>
      <c r="H98" s="1916"/>
      <c r="I98" s="1916"/>
      <c r="J98" s="1909"/>
      <c r="K98" s="1909"/>
    </row>
    <row r="99" spans="1:11" x14ac:dyDescent="0.25">
      <c r="A99" s="1909"/>
      <c r="B99" s="1909"/>
      <c r="C99" s="1909"/>
      <c r="D99" s="1916"/>
      <c r="E99" s="1916"/>
      <c r="F99" s="1916"/>
      <c r="G99" s="1916"/>
      <c r="H99" s="1916"/>
      <c r="I99" s="1916"/>
      <c r="J99" s="1909"/>
      <c r="K99" s="1909"/>
    </row>
    <row r="100" spans="1:11" x14ac:dyDescent="0.25">
      <c r="A100" s="1909"/>
      <c r="B100" s="1909"/>
      <c r="C100" s="1909"/>
      <c r="D100" s="1916"/>
      <c r="E100" s="1916"/>
      <c r="F100" s="1916"/>
      <c r="G100" s="1916"/>
      <c r="H100" s="1916"/>
      <c r="I100" s="1916"/>
      <c r="J100" s="1909"/>
      <c r="K100" s="1909"/>
    </row>
    <row r="101" spans="1:11" x14ac:dyDescent="0.25">
      <c r="A101" s="1909"/>
      <c r="B101" s="1909"/>
      <c r="C101" s="1909"/>
      <c r="D101" s="1916"/>
      <c r="E101" s="1916"/>
      <c r="F101" s="1916"/>
      <c r="G101" s="1916"/>
      <c r="H101" s="1916"/>
      <c r="I101" s="1916"/>
      <c r="J101" s="1909"/>
      <c r="K101" s="1909"/>
    </row>
    <row r="102" spans="1:11" x14ac:dyDescent="0.25">
      <c r="A102" s="1909"/>
      <c r="B102" s="1909"/>
      <c r="C102" s="1909"/>
      <c r="D102" s="1916"/>
      <c r="E102" s="1916"/>
      <c r="F102" s="1916"/>
      <c r="G102" s="1916"/>
      <c r="H102" s="1916"/>
      <c r="I102" s="1916"/>
      <c r="J102" s="1909"/>
      <c r="K102" s="1909"/>
    </row>
    <row r="103" spans="1:11" x14ac:dyDescent="0.25">
      <c r="A103" s="1909"/>
      <c r="B103" s="1909"/>
      <c r="C103" s="1909"/>
      <c r="D103" s="1916"/>
      <c r="E103" s="1916"/>
      <c r="F103" s="1916"/>
      <c r="G103" s="1916"/>
      <c r="H103" s="1916"/>
      <c r="I103" s="1916"/>
      <c r="J103" s="1909"/>
      <c r="K103" s="1909"/>
    </row>
    <row r="104" spans="1:11" x14ac:dyDescent="0.25">
      <c r="A104" s="1909"/>
      <c r="B104" s="1909"/>
      <c r="C104" s="1909"/>
      <c r="D104" s="1916"/>
      <c r="E104" s="1916"/>
      <c r="F104" s="1916"/>
      <c r="G104" s="1916"/>
      <c r="H104" s="1916"/>
      <c r="I104" s="1916"/>
      <c r="J104" s="1909"/>
      <c r="K104" s="1909"/>
    </row>
    <row r="105" spans="1:11" x14ac:dyDescent="0.25">
      <c r="A105" s="1909"/>
      <c r="B105" s="1909"/>
      <c r="C105" s="1909"/>
      <c r="D105" s="1916"/>
      <c r="E105" s="1916"/>
      <c r="F105" s="1916"/>
      <c r="G105" s="1916"/>
      <c r="H105" s="1916"/>
      <c r="I105" s="1916"/>
      <c r="J105" s="1909"/>
      <c r="K105" s="1909"/>
    </row>
    <row r="106" spans="1:11" x14ac:dyDescent="0.25">
      <c r="A106" s="1909"/>
      <c r="B106" s="1909"/>
      <c r="C106" s="1909"/>
      <c r="D106" s="1916"/>
      <c r="E106" s="1916"/>
      <c r="F106" s="1916"/>
      <c r="G106" s="1916"/>
      <c r="H106" s="1916"/>
      <c r="I106" s="1916"/>
      <c r="J106" s="1909"/>
      <c r="K106" s="1909"/>
    </row>
    <row r="107" spans="1:11" x14ac:dyDescent="0.25">
      <c r="A107" s="1909"/>
      <c r="B107" s="1909"/>
      <c r="C107" s="1909"/>
      <c r="D107" s="1916"/>
      <c r="E107" s="1916"/>
      <c r="F107" s="1916"/>
      <c r="G107" s="1916"/>
      <c r="H107" s="1916"/>
      <c r="I107" s="1916"/>
      <c r="J107" s="1909"/>
      <c r="K107" s="1909"/>
    </row>
    <row r="108" spans="1:11" x14ac:dyDescent="0.25">
      <c r="A108" s="1909"/>
      <c r="B108" s="1909"/>
      <c r="C108" s="1909"/>
      <c r="D108" s="1916"/>
      <c r="E108" s="1916"/>
      <c r="F108" s="1916"/>
      <c r="G108" s="1916"/>
      <c r="H108" s="1916"/>
      <c r="I108" s="1916"/>
      <c r="J108" s="1909"/>
      <c r="K108" s="1909"/>
    </row>
    <row r="109" spans="1:11" x14ac:dyDescent="0.25">
      <c r="A109" s="1909"/>
      <c r="B109" s="1909"/>
      <c r="C109" s="1909"/>
      <c r="D109" s="1916"/>
      <c r="E109" s="1916"/>
      <c r="F109" s="1916"/>
      <c r="G109" s="1916"/>
      <c r="H109" s="1916"/>
      <c r="I109" s="1916"/>
      <c r="J109" s="1909"/>
      <c r="K109" s="1909"/>
    </row>
    <row r="110" spans="1:11" x14ac:dyDescent="0.25">
      <c r="A110" s="1909"/>
      <c r="B110" s="1909"/>
      <c r="C110" s="1909"/>
      <c r="D110" s="1916"/>
      <c r="E110" s="1916"/>
      <c r="F110" s="1916"/>
      <c r="G110" s="1916"/>
      <c r="H110" s="1916"/>
      <c r="I110" s="1916"/>
      <c r="J110" s="1909"/>
      <c r="K110" s="1909"/>
    </row>
    <row r="111" spans="1:11" x14ac:dyDescent="0.25">
      <c r="A111" s="1909"/>
      <c r="B111" s="1909"/>
      <c r="C111" s="1909"/>
      <c r="D111" s="1916"/>
      <c r="E111" s="1916"/>
      <c r="F111" s="1916"/>
      <c r="G111" s="1916"/>
      <c r="H111" s="1916"/>
      <c r="I111" s="1916"/>
      <c r="J111" s="1909"/>
      <c r="K111" s="1909"/>
    </row>
    <row r="112" spans="1:11" x14ac:dyDescent="0.25">
      <c r="A112" s="1909"/>
      <c r="B112" s="1909"/>
      <c r="C112" s="1909"/>
      <c r="D112" s="1916"/>
      <c r="E112" s="1916"/>
      <c r="F112" s="1916"/>
      <c r="G112" s="1916"/>
      <c r="H112" s="1916"/>
      <c r="I112" s="1916"/>
      <c r="J112" s="1909"/>
      <c r="K112" s="1909"/>
    </row>
    <row r="113" spans="1:11" x14ac:dyDescent="0.25">
      <c r="A113" s="1909"/>
      <c r="B113" s="1909"/>
      <c r="C113" s="1909"/>
      <c r="D113" s="1916"/>
      <c r="E113" s="1916"/>
      <c r="F113" s="1916"/>
      <c r="G113" s="1916"/>
      <c r="H113" s="1916"/>
      <c r="I113" s="1916"/>
      <c r="J113" s="1909"/>
      <c r="K113" s="1909"/>
    </row>
    <row r="114" spans="1:11" x14ac:dyDescent="0.25">
      <c r="A114" s="1909"/>
      <c r="B114" s="1909"/>
      <c r="C114" s="1909"/>
      <c r="D114" s="1916"/>
      <c r="E114" s="1916"/>
      <c r="F114" s="1916"/>
      <c r="G114" s="1916"/>
      <c r="H114" s="1916"/>
      <c r="I114" s="1916"/>
      <c r="J114" s="1909"/>
      <c r="K114" s="1909"/>
    </row>
    <row r="115" spans="1:11" x14ac:dyDescent="0.25">
      <c r="A115" s="1909"/>
      <c r="B115" s="1909"/>
      <c r="C115" s="1909"/>
      <c r="D115" s="1916"/>
      <c r="E115" s="1916"/>
      <c r="F115" s="1916"/>
      <c r="G115" s="1916"/>
      <c r="H115" s="1916"/>
      <c r="I115" s="1916"/>
      <c r="J115" s="1909"/>
      <c r="K115" s="1909"/>
    </row>
    <row r="116" spans="1:11" x14ac:dyDescent="0.25">
      <c r="A116" s="1909"/>
      <c r="B116" s="1909"/>
      <c r="C116" s="1909"/>
      <c r="D116" s="1916"/>
      <c r="E116" s="1916"/>
      <c r="F116" s="1916"/>
      <c r="G116" s="1916"/>
      <c r="H116" s="1916"/>
      <c r="I116" s="1916"/>
      <c r="J116" s="1909"/>
      <c r="K116" s="1909"/>
    </row>
    <row r="117" spans="1:11" x14ac:dyDescent="0.25">
      <c r="A117" s="1909"/>
      <c r="B117" s="1909"/>
      <c r="C117" s="1909"/>
      <c r="D117" s="1916"/>
      <c r="E117" s="1916"/>
      <c r="F117" s="1916"/>
      <c r="G117" s="1916"/>
      <c r="H117" s="1916"/>
      <c r="I117" s="1916"/>
      <c r="J117" s="1909"/>
      <c r="K117" s="1909"/>
    </row>
    <row r="118" spans="1:11" x14ac:dyDescent="0.25">
      <c r="A118" s="1909"/>
      <c r="B118" s="1909"/>
      <c r="C118" s="1909"/>
      <c r="D118" s="1916"/>
      <c r="E118" s="1916"/>
      <c r="F118" s="1916"/>
      <c r="G118" s="1916"/>
      <c r="H118" s="1916"/>
      <c r="I118" s="1916"/>
      <c r="J118" s="1909"/>
      <c r="K118" s="1909"/>
    </row>
    <row r="119" spans="1:11" x14ac:dyDescent="0.25">
      <c r="A119" s="1909"/>
      <c r="B119" s="1909"/>
      <c r="C119" s="1909"/>
      <c r="D119" s="1916"/>
      <c r="E119" s="1916"/>
      <c r="F119" s="1916"/>
      <c r="G119" s="1916"/>
      <c r="H119" s="1916"/>
      <c r="I119" s="1916"/>
      <c r="J119" s="1909"/>
      <c r="K119" s="1909"/>
    </row>
    <row r="120" spans="1:11" x14ac:dyDescent="0.25">
      <c r="A120" s="1909"/>
      <c r="B120" s="1909"/>
      <c r="C120" s="1909"/>
      <c r="D120" s="1916"/>
      <c r="E120" s="1916"/>
      <c r="F120" s="1916"/>
      <c r="G120" s="1916"/>
      <c r="H120" s="1916"/>
      <c r="I120" s="1916"/>
      <c r="J120" s="1909"/>
      <c r="K120" s="1909"/>
    </row>
    <row r="121" spans="1:11" x14ac:dyDescent="0.25">
      <c r="A121" s="1909"/>
      <c r="B121" s="1909"/>
      <c r="C121" s="1909"/>
      <c r="D121" s="1916"/>
      <c r="E121" s="1916"/>
      <c r="F121" s="1916"/>
      <c r="G121" s="1916"/>
      <c r="H121" s="1916"/>
      <c r="I121" s="1916"/>
      <c r="J121" s="1909"/>
      <c r="K121" s="1909"/>
    </row>
    <row r="122" spans="1:11" x14ac:dyDescent="0.25">
      <c r="A122" s="1909"/>
      <c r="B122" s="1909"/>
      <c r="C122" s="1909"/>
      <c r="D122" s="1916"/>
      <c r="E122" s="1916"/>
      <c r="F122" s="1916"/>
      <c r="G122" s="1916"/>
      <c r="H122" s="1916"/>
      <c r="I122" s="1916"/>
      <c r="J122" s="1909"/>
      <c r="K122" s="1909"/>
    </row>
    <row r="123" spans="1:11" x14ac:dyDescent="0.25">
      <c r="A123" s="1909"/>
      <c r="B123" s="1909"/>
      <c r="C123" s="1909"/>
      <c r="D123" s="1916"/>
      <c r="E123" s="1916"/>
      <c r="F123" s="1916"/>
      <c r="G123" s="1916"/>
      <c r="H123" s="1916"/>
      <c r="I123" s="1916"/>
      <c r="J123" s="1909"/>
      <c r="K123" s="1909"/>
    </row>
    <row r="124" spans="1:11" x14ac:dyDescent="0.25">
      <c r="A124" s="1909"/>
      <c r="B124" s="1909"/>
      <c r="C124" s="1909"/>
      <c r="D124" s="1916"/>
      <c r="E124" s="1916"/>
      <c r="F124" s="1916"/>
      <c r="G124" s="1916"/>
      <c r="H124" s="1916"/>
      <c r="I124" s="1916"/>
      <c r="J124" s="1909"/>
      <c r="K124" s="1909"/>
    </row>
    <row r="125" spans="1:11" x14ac:dyDescent="0.25">
      <c r="A125" s="1909"/>
      <c r="B125" s="1909"/>
      <c r="C125" s="1909"/>
      <c r="D125" s="1916"/>
      <c r="E125" s="1916"/>
      <c r="F125" s="1916"/>
      <c r="G125" s="1916"/>
      <c r="H125" s="1916"/>
      <c r="I125" s="1916"/>
      <c r="J125" s="1909"/>
      <c r="K125" s="1909"/>
    </row>
    <row r="126" spans="1:11" x14ac:dyDescent="0.25">
      <c r="A126" s="1909"/>
      <c r="B126" s="1909"/>
      <c r="C126" s="1909"/>
      <c r="D126" s="1916"/>
      <c r="E126" s="1916"/>
      <c r="F126" s="1916"/>
      <c r="G126" s="1916"/>
      <c r="H126" s="1916"/>
      <c r="I126" s="1916"/>
      <c r="J126" s="1909"/>
      <c r="K126" s="1909"/>
    </row>
    <row r="127" spans="1:11" x14ac:dyDescent="0.25">
      <c r="A127" s="1909"/>
      <c r="B127" s="1909"/>
      <c r="C127" s="1909"/>
      <c r="D127" s="1916"/>
      <c r="E127" s="1916"/>
      <c r="F127" s="1916"/>
      <c r="G127" s="1916"/>
      <c r="H127" s="1916"/>
      <c r="I127" s="1916"/>
      <c r="J127" s="1909"/>
      <c r="K127" s="1909"/>
    </row>
    <row r="128" spans="1:11" x14ac:dyDescent="0.25">
      <c r="A128" s="1909"/>
      <c r="B128" s="1909"/>
      <c r="C128" s="1909"/>
      <c r="D128" s="1916"/>
      <c r="E128" s="1916"/>
      <c r="F128" s="1916"/>
      <c r="G128" s="1916"/>
      <c r="H128" s="1916"/>
      <c r="I128" s="1916"/>
      <c r="J128" s="1909"/>
      <c r="K128" s="1909"/>
    </row>
    <row r="129" spans="1:11" x14ac:dyDescent="0.25">
      <c r="A129" s="1909"/>
      <c r="B129" s="1909"/>
      <c r="C129" s="1909"/>
      <c r="D129" s="1916"/>
      <c r="E129" s="1916"/>
      <c r="F129" s="1916"/>
      <c r="G129" s="1916"/>
      <c r="H129" s="1916"/>
      <c r="I129" s="1916"/>
      <c r="J129" s="1909"/>
      <c r="K129" s="1909"/>
    </row>
    <row r="130" spans="1:11" x14ac:dyDescent="0.25">
      <c r="A130" s="1909"/>
      <c r="B130" s="1909"/>
      <c r="C130" s="1909"/>
      <c r="D130" s="1916"/>
      <c r="E130" s="1916"/>
      <c r="F130" s="1916"/>
      <c r="G130" s="1916"/>
      <c r="H130" s="1916"/>
      <c r="I130" s="1916"/>
      <c r="J130" s="1909"/>
      <c r="K130" s="1909"/>
    </row>
    <row r="131" spans="1:11" x14ac:dyDescent="0.25">
      <c r="A131" s="1909"/>
      <c r="B131" s="1909"/>
      <c r="C131" s="1909"/>
      <c r="D131" s="1916"/>
      <c r="E131" s="1916"/>
      <c r="F131" s="1916"/>
      <c r="G131" s="1916"/>
      <c r="H131" s="1916"/>
      <c r="I131" s="1916"/>
      <c r="J131" s="1909"/>
      <c r="K131" s="1909"/>
    </row>
    <row r="132" spans="1:11" x14ac:dyDescent="0.25">
      <c r="A132" s="1909"/>
      <c r="B132" s="1909"/>
      <c r="C132" s="1909"/>
      <c r="D132" s="1916"/>
      <c r="E132" s="1916"/>
      <c r="F132" s="1916"/>
      <c r="G132" s="1916"/>
      <c r="H132" s="1916"/>
      <c r="I132" s="1916"/>
      <c r="J132" s="1909"/>
      <c r="K132" s="1909"/>
    </row>
    <row r="133" spans="1:11" x14ac:dyDescent="0.25">
      <c r="A133" s="1909"/>
      <c r="B133" s="1909"/>
      <c r="C133" s="1909"/>
      <c r="D133" s="1916"/>
      <c r="E133" s="1916"/>
      <c r="F133" s="1916"/>
      <c r="G133" s="1916"/>
      <c r="H133" s="1916"/>
      <c r="I133" s="1916"/>
      <c r="J133" s="1909"/>
      <c r="K133" s="1909"/>
    </row>
    <row r="134" spans="1:11" x14ac:dyDescent="0.25">
      <c r="A134" s="1909"/>
      <c r="B134" s="1909"/>
      <c r="C134" s="1909"/>
      <c r="D134" s="1916"/>
      <c r="E134" s="1916"/>
      <c r="F134" s="1916"/>
      <c r="G134" s="1916"/>
      <c r="H134" s="1916"/>
      <c r="I134" s="1916"/>
      <c r="J134" s="1909"/>
      <c r="K134" s="1909"/>
    </row>
    <row r="135" spans="1:11" x14ac:dyDescent="0.25">
      <c r="A135" s="1909"/>
      <c r="B135" s="1909"/>
      <c r="C135" s="1909"/>
      <c r="D135" s="1916"/>
      <c r="E135" s="1916"/>
      <c r="F135" s="1916"/>
      <c r="G135" s="1916"/>
      <c r="H135" s="1916"/>
      <c r="I135" s="1916"/>
      <c r="J135" s="1909"/>
      <c r="K135" s="1909"/>
    </row>
    <row r="136" spans="1:11" x14ac:dyDescent="0.25">
      <c r="A136" s="1909"/>
      <c r="B136" s="1909"/>
      <c r="C136" s="1909"/>
      <c r="D136" s="1916"/>
      <c r="E136" s="1916"/>
      <c r="F136" s="1916"/>
      <c r="G136" s="1916"/>
      <c r="H136" s="1916"/>
      <c r="I136" s="1916"/>
      <c r="J136" s="1909"/>
      <c r="K136" s="1909"/>
    </row>
    <row r="137" spans="1:11" x14ac:dyDescent="0.25">
      <c r="A137" s="1909"/>
      <c r="B137" s="1909"/>
      <c r="C137" s="1909"/>
      <c r="D137" s="1916"/>
      <c r="E137" s="1916"/>
      <c r="F137" s="1916"/>
      <c r="G137" s="1916"/>
      <c r="H137" s="1916"/>
      <c r="I137" s="1916"/>
      <c r="J137" s="1909"/>
      <c r="K137" s="1909"/>
    </row>
    <row r="138" spans="1:11" x14ac:dyDescent="0.25">
      <c r="A138" s="1909"/>
      <c r="B138" s="1909"/>
      <c r="C138" s="1909"/>
      <c r="D138" s="1916"/>
      <c r="E138" s="1916"/>
      <c r="F138" s="1916"/>
      <c r="G138" s="1916"/>
      <c r="H138" s="1916"/>
      <c r="I138" s="1916"/>
      <c r="J138" s="1909"/>
      <c r="K138" s="1909"/>
    </row>
    <row r="139" spans="1:11" x14ac:dyDescent="0.25">
      <c r="A139" s="1909"/>
      <c r="B139" s="1909"/>
      <c r="C139" s="1909"/>
      <c r="D139" s="1916"/>
      <c r="E139" s="1916"/>
      <c r="F139" s="1916"/>
      <c r="G139" s="1916"/>
      <c r="H139" s="1916"/>
      <c r="I139" s="1916"/>
      <c r="J139" s="1909"/>
      <c r="K139" s="1909"/>
    </row>
    <row r="140" spans="1:11" x14ac:dyDescent="0.25">
      <c r="A140" s="1909"/>
      <c r="B140" s="1909"/>
      <c r="C140" s="1909"/>
      <c r="D140" s="1916"/>
      <c r="E140" s="1916"/>
      <c r="F140" s="1916"/>
      <c r="G140" s="1916"/>
      <c r="H140" s="1916"/>
      <c r="I140" s="1916"/>
      <c r="J140" s="1909"/>
      <c r="K140" s="1909"/>
    </row>
    <row r="141" spans="1:11" x14ac:dyDescent="0.25">
      <c r="A141" s="1909"/>
      <c r="B141" s="1909"/>
      <c r="C141" s="1909"/>
      <c r="D141" s="1916"/>
      <c r="E141" s="1916"/>
      <c r="F141" s="1916"/>
      <c r="G141" s="1916"/>
      <c r="H141" s="1916"/>
      <c r="I141" s="1916"/>
      <c r="J141" s="1909"/>
      <c r="K141" s="1909"/>
    </row>
    <row r="142" spans="1:11" x14ac:dyDescent="0.25">
      <c r="A142" s="1909"/>
      <c r="B142" s="1909"/>
      <c r="C142" s="1909"/>
      <c r="D142" s="1916"/>
      <c r="E142" s="1916"/>
      <c r="F142" s="1916"/>
      <c r="G142" s="1916"/>
      <c r="H142" s="1916"/>
      <c r="I142" s="1916"/>
      <c r="J142" s="1909"/>
      <c r="K142" s="1909"/>
    </row>
    <row r="143" spans="1:11" x14ac:dyDescent="0.25">
      <c r="A143" s="1909"/>
      <c r="B143" s="1909"/>
      <c r="C143" s="1909"/>
      <c r="D143" s="1916"/>
      <c r="E143" s="1916"/>
      <c r="F143" s="1916"/>
      <c r="G143" s="1916"/>
      <c r="H143" s="1916"/>
      <c r="I143" s="1916"/>
      <c r="J143" s="1909"/>
      <c r="K143" s="1909"/>
    </row>
    <row r="144" spans="1:11" x14ac:dyDescent="0.25">
      <c r="A144" s="1909"/>
      <c r="B144" s="1909"/>
      <c r="C144" s="1909"/>
      <c r="D144" s="1916"/>
      <c r="E144" s="1916"/>
      <c r="F144" s="1916"/>
      <c r="G144" s="1916"/>
      <c r="H144" s="1916"/>
      <c r="I144" s="1916"/>
      <c r="J144" s="1909"/>
      <c r="K144" s="1909"/>
    </row>
    <row r="145" spans="1:11" x14ac:dyDescent="0.25">
      <c r="A145" s="1909"/>
      <c r="B145" s="1909"/>
      <c r="C145" s="1909"/>
      <c r="D145" s="1916"/>
      <c r="E145" s="1916"/>
      <c r="F145" s="1916"/>
      <c r="G145" s="1916"/>
      <c r="H145" s="1916"/>
      <c r="I145" s="1916"/>
      <c r="J145" s="1909"/>
      <c r="K145" s="1909"/>
    </row>
    <row r="146" spans="1:11" x14ac:dyDescent="0.25">
      <c r="A146" s="1909"/>
      <c r="B146" s="1909"/>
      <c r="C146" s="1909"/>
      <c r="D146" s="1916"/>
      <c r="E146" s="1916"/>
      <c r="F146" s="1916"/>
      <c r="G146" s="1916"/>
      <c r="H146" s="1916"/>
      <c r="I146" s="1916"/>
      <c r="J146" s="1909"/>
      <c r="K146" s="1909"/>
    </row>
    <row r="147" spans="1:11" x14ac:dyDescent="0.25">
      <c r="A147" s="1909"/>
      <c r="B147" s="1909"/>
      <c r="C147" s="1909"/>
      <c r="D147" s="1916"/>
      <c r="E147" s="1916"/>
      <c r="F147" s="1916"/>
      <c r="G147" s="1916"/>
      <c r="H147" s="1916"/>
      <c r="I147" s="1916"/>
      <c r="J147" s="1909"/>
      <c r="K147" s="1909"/>
    </row>
    <row r="148" spans="1:11" x14ac:dyDescent="0.25">
      <c r="A148" s="1909"/>
      <c r="B148" s="1909"/>
      <c r="C148" s="1909"/>
      <c r="D148" s="1916"/>
      <c r="E148" s="1916"/>
      <c r="F148" s="1916"/>
      <c r="G148" s="1916"/>
      <c r="H148" s="1916"/>
      <c r="I148" s="1916"/>
      <c r="J148" s="1909"/>
      <c r="K148" s="1909"/>
    </row>
    <row r="149" spans="1:11" x14ac:dyDescent="0.25">
      <c r="A149" s="1909"/>
      <c r="B149" s="1909"/>
      <c r="C149" s="1909"/>
      <c r="D149" s="1916"/>
      <c r="E149" s="1916"/>
      <c r="F149" s="1916"/>
      <c r="G149" s="1916"/>
      <c r="H149" s="1916"/>
      <c r="I149" s="1916"/>
      <c r="J149" s="1909"/>
      <c r="K149" s="1909"/>
    </row>
    <row r="150" spans="1:11" x14ac:dyDescent="0.25">
      <c r="A150" s="1909"/>
      <c r="B150" s="1909"/>
      <c r="C150" s="1909"/>
      <c r="D150" s="1916"/>
      <c r="E150" s="1916"/>
      <c r="F150" s="1916"/>
      <c r="G150" s="1916"/>
      <c r="H150" s="1916"/>
      <c r="I150" s="1916"/>
      <c r="J150" s="1909"/>
      <c r="K150" s="1909"/>
    </row>
    <row r="151" spans="1:11" x14ac:dyDescent="0.25">
      <c r="A151" s="1909"/>
      <c r="B151" s="1909"/>
      <c r="C151" s="1909"/>
      <c r="D151" s="1916"/>
      <c r="E151" s="1916"/>
      <c r="F151" s="1916"/>
      <c r="G151" s="1916"/>
      <c r="H151" s="1916"/>
      <c r="I151" s="1916"/>
      <c r="J151" s="1909"/>
      <c r="K151" s="1909"/>
    </row>
    <row r="152" spans="1:11" x14ac:dyDescent="0.25">
      <c r="A152" s="1909"/>
      <c r="B152" s="1909"/>
      <c r="C152" s="1909"/>
      <c r="D152" s="1916"/>
      <c r="E152" s="1916"/>
      <c r="F152" s="1916"/>
      <c r="G152" s="1916"/>
      <c r="H152" s="1916"/>
      <c r="I152" s="1916"/>
      <c r="J152" s="1909"/>
      <c r="K152" s="1909"/>
    </row>
    <row r="153" spans="1:11" x14ac:dyDescent="0.25">
      <c r="A153" s="1909"/>
      <c r="B153" s="1909"/>
      <c r="C153" s="1909"/>
      <c r="D153" s="1916"/>
      <c r="E153" s="1916"/>
      <c r="F153" s="1916"/>
      <c r="G153" s="1916"/>
      <c r="H153" s="1916"/>
      <c r="I153" s="1916"/>
      <c r="J153" s="1909"/>
      <c r="K153" s="1909"/>
    </row>
    <row r="154" spans="1:11" x14ac:dyDescent="0.25">
      <c r="A154" s="1909"/>
      <c r="B154" s="1909"/>
      <c r="C154" s="1909"/>
      <c r="D154" s="1916"/>
      <c r="E154" s="1916"/>
      <c r="F154" s="1916"/>
      <c r="G154" s="1916"/>
      <c r="H154" s="1916"/>
      <c r="I154" s="1916"/>
      <c r="J154" s="1909"/>
      <c r="K154" s="1909"/>
    </row>
    <row r="155" spans="1:11" x14ac:dyDescent="0.25">
      <c r="A155" s="1909"/>
      <c r="B155" s="1909"/>
      <c r="C155" s="1909"/>
      <c r="D155" s="1916"/>
      <c r="E155" s="1916"/>
      <c r="F155" s="1916"/>
      <c r="G155" s="1916"/>
      <c r="H155" s="1916"/>
      <c r="I155" s="1916"/>
      <c r="J155" s="1909"/>
      <c r="K155" s="1909"/>
    </row>
    <row r="156" spans="1:11" x14ac:dyDescent="0.25">
      <c r="A156" s="1909"/>
      <c r="B156" s="1909"/>
      <c r="C156" s="1909"/>
      <c r="D156" s="1916"/>
      <c r="E156" s="1916"/>
      <c r="F156" s="1916"/>
      <c r="G156" s="1916"/>
      <c r="H156" s="1916"/>
      <c r="I156" s="1916"/>
      <c r="J156" s="1909"/>
      <c r="K156" s="1909"/>
    </row>
    <row r="157" spans="1:11" x14ac:dyDescent="0.25">
      <c r="A157" s="1909"/>
      <c r="B157" s="1909"/>
      <c r="C157" s="1909"/>
      <c r="D157" s="1916"/>
      <c r="E157" s="1916"/>
      <c r="F157" s="1916"/>
      <c r="G157" s="1916"/>
      <c r="H157" s="1916"/>
      <c r="I157" s="1916"/>
      <c r="J157" s="1909"/>
      <c r="K157" s="1909"/>
    </row>
    <row r="158" spans="1:11" x14ac:dyDescent="0.25">
      <c r="A158" s="1909"/>
      <c r="B158" s="1909"/>
      <c r="C158" s="1909"/>
      <c r="D158" s="1916"/>
      <c r="E158" s="1916"/>
      <c r="F158" s="1916"/>
      <c r="G158" s="1916"/>
      <c r="H158" s="1916"/>
      <c r="I158" s="1916"/>
      <c r="J158" s="1909"/>
      <c r="K158" s="1909"/>
    </row>
    <row r="159" spans="1:11" x14ac:dyDescent="0.25">
      <c r="A159" s="1909"/>
      <c r="B159" s="1909"/>
      <c r="C159" s="1909"/>
      <c r="D159" s="1916"/>
      <c r="E159" s="1916"/>
      <c r="F159" s="1916"/>
      <c r="G159" s="1916"/>
      <c r="H159" s="1916"/>
      <c r="I159" s="1916"/>
      <c r="J159" s="1909"/>
      <c r="K159" s="1909"/>
    </row>
    <row r="160" spans="1:11" x14ac:dyDescent="0.25">
      <c r="A160" s="1909"/>
      <c r="B160" s="1909"/>
      <c r="C160" s="1909"/>
      <c r="D160" s="1916"/>
      <c r="E160" s="1916"/>
      <c r="F160" s="1916"/>
      <c r="G160" s="1916"/>
      <c r="H160" s="1916"/>
      <c r="I160" s="1916"/>
      <c r="J160" s="1909"/>
      <c r="K160" s="1909"/>
    </row>
    <row r="161" spans="1:11" x14ac:dyDescent="0.25">
      <c r="A161" s="1909"/>
      <c r="B161" s="1909"/>
      <c r="C161" s="1909"/>
      <c r="D161" s="1916"/>
      <c r="E161" s="1916"/>
      <c r="F161" s="1916"/>
      <c r="G161" s="1916"/>
      <c r="H161" s="1916"/>
      <c r="I161" s="1916"/>
      <c r="J161" s="1909"/>
      <c r="K161" s="1909"/>
    </row>
    <row r="162" spans="1:11" x14ac:dyDescent="0.25">
      <c r="A162" s="1909"/>
      <c r="B162" s="1909"/>
      <c r="C162" s="1909"/>
      <c r="D162" s="1916"/>
      <c r="E162" s="1916"/>
      <c r="F162" s="1916"/>
      <c r="G162" s="1916"/>
      <c r="H162" s="1916"/>
      <c r="I162" s="1916"/>
      <c r="J162" s="1909"/>
      <c r="K162" s="1909"/>
    </row>
    <row r="163" spans="1:11" x14ac:dyDescent="0.25">
      <c r="A163" s="1909"/>
      <c r="B163" s="1909"/>
      <c r="C163" s="1909"/>
      <c r="D163" s="1916"/>
      <c r="E163" s="1916"/>
      <c r="F163" s="1916"/>
      <c r="G163" s="1916"/>
      <c r="H163" s="1916"/>
      <c r="I163" s="1916"/>
      <c r="J163" s="1909"/>
      <c r="K163" s="1909"/>
    </row>
    <row r="164" spans="1:11" x14ac:dyDescent="0.25">
      <c r="A164" s="1909"/>
      <c r="B164" s="1909"/>
      <c r="C164" s="1909"/>
      <c r="D164" s="1916"/>
      <c r="E164" s="1916"/>
      <c r="F164" s="1916"/>
      <c r="G164" s="1916"/>
      <c r="H164" s="1916"/>
      <c r="I164" s="1916"/>
      <c r="J164" s="1909"/>
      <c r="K164" s="1909"/>
    </row>
    <row r="165" spans="1:11" x14ac:dyDescent="0.25">
      <c r="A165" s="1909"/>
      <c r="B165" s="1909"/>
      <c r="C165" s="1909"/>
      <c r="D165" s="1916"/>
      <c r="E165" s="1916"/>
      <c r="F165" s="1916"/>
      <c r="G165" s="1916"/>
      <c r="H165" s="1916"/>
      <c r="I165" s="1916"/>
      <c r="J165" s="1909"/>
      <c r="K165" s="1909"/>
    </row>
    <row r="166" spans="1:11" x14ac:dyDescent="0.25">
      <c r="A166" s="1909"/>
      <c r="B166" s="1909"/>
      <c r="C166" s="1909"/>
      <c r="D166" s="1916"/>
      <c r="E166" s="1916"/>
      <c r="F166" s="1916"/>
      <c r="G166" s="1916"/>
      <c r="H166" s="1916"/>
      <c r="I166" s="1916"/>
      <c r="J166" s="1909"/>
      <c r="K166" s="1909"/>
    </row>
    <row r="167" spans="1:11" x14ac:dyDescent="0.25">
      <c r="A167" s="1909"/>
      <c r="B167" s="1909"/>
      <c r="C167" s="1909"/>
      <c r="D167" s="1916"/>
      <c r="E167" s="1916"/>
      <c r="F167" s="1916"/>
      <c r="G167" s="1916"/>
      <c r="H167" s="1916"/>
      <c r="I167" s="1916"/>
      <c r="J167" s="1909"/>
      <c r="K167" s="1909"/>
    </row>
    <row r="168" spans="1:11" x14ac:dyDescent="0.25">
      <c r="A168" s="1909"/>
      <c r="B168" s="1909"/>
      <c r="C168" s="1909"/>
      <c r="D168" s="1916"/>
      <c r="E168" s="1916"/>
      <c r="F168" s="1916"/>
      <c r="G168" s="1916"/>
      <c r="H168" s="1916"/>
      <c r="I168" s="1916"/>
      <c r="J168" s="1909"/>
      <c r="K168" s="1909"/>
    </row>
    <row r="169" spans="1:11" x14ac:dyDescent="0.25">
      <c r="A169" s="1909"/>
      <c r="B169" s="1909"/>
      <c r="C169" s="1909"/>
      <c r="D169" s="1916"/>
      <c r="E169" s="1916"/>
      <c r="F169" s="1916"/>
      <c r="G169" s="1916"/>
      <c r="H169" s="1916"/>
      <c r="I169" s="1916"/>
      <c r="J169" s="1909"/>
      <c r="K169" s="1909"/>
    </row>
    <row r="170" spans="1:11" x14ac:dyDescent="0.25">
      <c r="A170" s="1909"/>
      <c r="B170" s="1909"/>
      <c r="C170" s="1909"/>
      <c r="D170" s="1916"/>
      <c r="E170" s="1916"/>
      <c r="F170" s="1916"/>
      <c r="G170" s="1916"/>
      <c r="H170" s="1916"/>
      <c r="I170" s="1916"/>
      <c r="J170" s="1909"/>
      <c r="K170" s="1909"/>
    </row>
    <row r="171" spans="1:11" x14ac:dyDescent="0.25">
      <c r="A171" s="1909"/>
      <c r="B171" s="1909"/>
      <c r="C171" s="1909"/>
      <c r="D171" s="1916"/>
      <c r="E171" s="1916"/>
      <c r="F171" s="1916"/>
      <c r="G171" s="1916"/>
      <c r="H171" s="1916"/>
      <c r="I171" s="1916"/>
      <c r="J171" s="1909"/>
      <c r="K171" s="1909"/>
    </row>
    <row r="172" spans="1:11" x14ac:dyDescent="0.25">
      <c r="A172" s="1909"/>
      <c r="B172" s="1909"/>
      <c r="C172" s="1909"/>
      <c r="D172" s="1916"/>
      <c r="E172" s="1916"/>
      <c r="F172" s="1916"/>
      <c r="G172" s="1916"/>
      <c r="H172" s="1916"/>
      <c r="I172" s="1916"/>
      <c r="J172" s="1909"/>
      <c r="K172" s="1909"/>
    </row>
    <row r="173" spans="1:11" x14ac:dyDescent="0.25">
      <c r="A173" s="1909"/>
      <c r="B173" s="1909"/>
      <c r="C173" s="1909"/>
      <c r="D173" s="1916"/>
      <c r="E173" s="1916"/>
      <c r="F173" s="1916"/>
      <c r="G173" s="1916"/>
      <c r="H173" s="1916"/>
      <c r="I173" s="1916"/>
      <c r="J173" s="1909"/>
      <c r="K173" s="1909"/>
    </row>
    <row r="174" spans="1:11" x14ac:dyDescent="0.25">
      <c r="A174" s="1909"/>
      <c r="B174" s="1909"/>
      <c r="C174" s="1909"/>
      <c r="D174" s="1916"/>
      <c r="E174" s="1916"/>
      <c r="F174" s="1916"/>
      <c r="G174" s="1916"/>
      <c r="H174" s="1916"/>
      <c r="I174" s="1916"/>
      <c r="J174" s="1909"/>
      <c r="K174" s="1909"/>
    </row>
    <row r="175" spans="1:11" x14ac:dyDescent="0.25">
      <c r="A175" s="1909"/>
      <c r="B175" s="1909"/>
      <c r="C175" s="1909"/>
      <c r="D175" s="1916"/>
      <c r="E175" s="1916"/>
      <c r="F175" s="1916"/>
      <c r="G175" s="1916"/>
      <c r="H175" s="1916"/>
      <c r="I175" s="1916"/>
      <c r="J175" s="1909"/>
      <c r="K175" s="1909"/>
    </row>
    <row r="176" spans="1:11" x14ac:dyDescent="0.25">
      <c r="A176" s="1909"/>
      <c r="B176" s="1909"/>
      <c r="C176" s="1909"/>
      <c r="D176" s="1916"/>
      <c r="E176" s="1916"/>
      <c r="F176" s="1916"/>
      <c r="G176" s="1916"/>
      <c r="H176" s="1916"/>
      <c r="I176" s="1916"/>
      <c r="J176" s="1909"/>
      <c r="K176" s="1909"/>
    </row>
    <row r="177" spans="1:11" x14ac:dyDescent="0.25">
      <c r="A177" s="1909"/>
      <c r="B177" s="1909"/>
      <c r="C177" s="1909"/>
      <c r="D177" s="1916"/>
      <c r="E177" s="1916"/>
      <c r="F177" s="1916"/>
      <c r="G177" s="1916"/>
      <c r="H177" s="1916"/>
      <c r="I177" s="1916"/>
      <c r="J177" s="1909"/>
      <c r="K177" s="1909"/>
    </row>
    <row r="178" spans="1:11" x14ac:dyDescent="0.25">
      <c r="A178" s="1909"/>
      <c r="B178" s="1909"/>
      <c r="C178" s="1909"/>
      <c r="D178" s="1916"/>
      <c r="E178" s="1916"/>
      <c r="F178" s="1916"/>
      <c r="G178" s="1916"/>
      <c r="H178" s="1916"/>
      <c r="I178" s="1916"/>
      <c r="J178" s="1909"/>
      <c r="K178" s="1909"/>
    </row>
    <row r="179" spans="1:11" x14ac:dyDescent="0.25">
      <c r="A179" s="1909"/>
      <c r="B179" s="1909"/>
      <c r="C179" s="1909"/>
      <c r="D179" s="1916"/>
      <c r="E179" s="1916"/>
      <c r="F179" s="1916"/>
      <c r="G179" s="1916"/>
      <c r="H179" s="1916"/>
      <c r="I179" s="1916"/>
      <c r="J179" s="1909"/>
      <c r="K179" s="1909"/>
    </row>
    <row r="180" spans="1:11" x14ac:dyDescent="0.25">
      <c r="A180" s="1909"/>
      <c r="B180" s="1909"/>
      <c r="C180" s="1909"/>
      <c r="D180" s="1916"/>
      <c r="E180" s="1916"/>
      <c r="F180" s="1916"/>
      <c r="G180" s="1916"/>
      <c r="H180" s="1916"/>
      <c r="I180" s="1916"/>
      <c r="J180" s="1909"/>
      <c r="K180" s="1909"/>
    </row>
    <row r="181" spans="1:11" x14ac:dyDescent="0.25">
      <c r="A181" s="1909"/>
      <c r="B181" s="1909"/>
      <c r="C181" s="1909"/>
      <c r="D181" s="1916"/>
      <c r="E181" s="1916"/>
      <c r="F181" s="1916"/>
      <c r="G181" s="1916"/>
      <c r="H181" s="1916"/>
      <c r="I181" s="1916"/>
      <c r="J181" s="1909"/>
      <c r="K181" s="1909"/>
    </row>
    <row r="182" spans="1:11" x14ac:dyDescent="0.25">
      <c r="A182" s="1909"/>
      <c r="B182" s="1909"/>
      <c r="C182" s="1909"/>
      <c r="D182" s="1916"/>
      <c r="E182" s="1916"/>
      <c r="F182" s="1916"/>
      <c r="G182" s="1916"/>
      <c r="H182" s="1916"/>
      <c r="I182" s="1916"/>
      <c r="J182" s="1909"/>
      <c r="K182" s="1909"/>
    </row>
    <row r="183" spans="1:11" x14ac:dyDescent="0.25">
      <c r="A183" s="1909"/>
      <c r="B183" s="1909"/>
      <c r="C183" s="1909"/>
      <c r="D183" s="1916"/>
      <c r="E183" s="1916"/>
      <c r="F183" s="1916"/>
      <c r="G183" s="1916"/>
      <c r="H183" s="1916"/>
      <c r="I183" s="1916"/>
      <c r="J183" s="1909"/>
      <c r="K183" s="1909"/>
    </row>
    <row r="184" spans="1:11" x14ac:dyDescent="0.25">
      <c r="A184" s="1909"/>
      <c r="B184" s="1909"/>
      <c r="C184" s="1909"/>
      <c r="D184" s="1916"/>
      <c r="E184" s="1916"/>
      <c r="F184" s="1916"/>
      <c r="G184" s="1916"/>
      <c r="H184" s="1916"/>
      <c r="I184" s="1916"/>
      <c r="J184" s="1909"/>
      <c r="K184" s="1909"/>
    </row>
    <row r="185" spans="1:11" x14ac:dyDescent="0.25">
      <c r="A185" s="1909"/>
      <c r="B185" s="1909"/>
      <c r="C185" s="1909"/>
      <c r="D185" s="1916"/>
      <c r="E185" s="1916"/>
      <c r="F185" s="1916"/>
      <c r="G185" s="1916"/>
      <c r="H185" s="1916"/>
      <c r="I185" s="1916"/>
      <c r="J185" s="1909"/>
      <c r="K185" s="1909"/>
    </row>
    <row r="186" spans="1:11" x14ac:dyDescent="0.25">
      <c r="A186" s="1909"/>
      <c r="B186" s="1909"/>
      <c r="C186" s="1909"/>
      <c r="D186" s="1916"/>
      <c r="E186" s="1916"/>
      <c r="F186" s="1916"/>
      <c r="G186" s="1916"/>
      <c r="H186" s="1916"/>
      <c r="I186" s="1916"/>
      <c r="J186" s="1909"/>
      <c r="K186" s="1909"/>
    </row>
    <row r="187" spans="1:11" x14ac:dyDescent="0.25">
      <c r="A187" s="1909"/>
      <c r="B187" s="1909"/>
      <c r="C187" s="1909"/>
      <c r="D187" s="1916"/>
      <c r="E187" s="1916"/>
      <c r="F187" s="1916"/>
      <c r="G187" s="1916"/>
      <c r="H187" s="1916"/>
      <c r="I187" s="1916"/>
      <c r="J187" s="1909"/>
      <c r="K187" s="1909"/>
    </row>
    <row r="188" spans="1:11" x14ac:dyDescent="0.25">
      <c r="A188" s="1909"/>
      <c r="B188" s="1909"/>
      <c r="C188" s="1909"/>
      <c r="D188" s="1916"/>
      <c r="E188" s="1916"/>
      <c r="F188" s="1916"/>
      <c r="G188" s="1916"/>
      <c r="H188" s="1916"/>
      <c r="I188" s="1916"/>
      <c r="J188" s="1909"/>
      <c r="K188" s="1909"/>
    </row>
    <row r="189" spans="1:11" x14ac:dyDescent="0.25">
      <c r="A189" s="1909"/>
      <c r="B189" s="1909"/>
      <c r="C189" s="1909"/>
      <c r="D189" s="1916"/>
      <c r="E189" s="1916"/>
      <c r="F189" s="1916"/>
      <c r="G189" s="1916"/>
      <c r="H189" s="1916"/>
      <c r="I189" s="1916"/>
      <c r="J189" s="1909"/>
      <c r="K189" s="1909"/>
    </row>
    <row r="190" spans="1:11" x14ac:dyDescent="0.25">
      <c r="A190" s="1909"/>
      <c r="B190" s="1909"/>
      <c r="C190" s="1909"/>
      <c r="D190" s="1916"/>
      <c r="E190" s="1916"/>
      <c r="F190" s="1916"/>
      <c r="G190" s="1916"/>
      <c r="H190" s="1916"/>
      <c r="I190" s="1916"/>
      <c r="J190" s="1909"/>
      <c r="K190" s="1909"/>
    </row>
    <row r="191" spans="1:11" x14ac:dyDescent="0.25">
      <c r="A191" s="1909"/>
      <c r="B191" s="1909"/>
      <c r="C191" s="1909"/>
      <c r="D191" s="1916"/>
      <c r="E191" s="1916"/>
      <c r="F191" s="1916"/>
      <c r="G191" s="1916"/>
      <c r="H191" s="1916"/>
      <c r="I191" s="1916"/>
      <c r="J191" s="1909"/>
      <c r="K191" s="1909"/>
    </row>
    <row r="192" spans="1:11" x14ac:dyDescent="0.25">
      <c r="A192" s="1909"/>
      <c r="B192" s="1909"/>
      <c r="C192" s="1909"/>
      <c r="D192" s="1916"/>
      <c r="E192" s="1916"/>
      <c r="F192" s="1916"/>
      <c r="G192" s="1916"/>
      <c r="H192" s="1916"/>
      <c r="I192" s="1916"/>
      <c r="J192" s="1909"/>
      <c r="K192" s="1909"/>
    </row>
    <row r="193" spans="1:11" x14ac:dyDescent="0.25">
      <c r="A193" s="1909"/>
      <c r="B193" s="1909"/>
      <c r="C193" s="1909"/>
      <c r="D193" s="1916"/>
      <c r="E193" s="1916"/>
      <c r="F193" s="1916"/>
      <c r="G193" s="1916"/>
      <c r="H193" s="1916"/>
      <c r="I193" s="1916"/>
      <c r="J193" s="1909"/>
      <c r="K193" s="1909"/>
    </row>
    <row r="194" spans="1:11" x14ac:dyDescent="0.25">
      <c r="A194" s="1909"/>
      <c r="B194" s="1909"/>
      <c r="C194" s="1909"/>
      <c r="D194" s="1916"/>
      <c r="E194" s="1916"/>
      <c r="F194" s="1916"/>
      <c r="G194" s="1916"/>
      <c r="H194" s="1916"/>
      <c r="I194" s="1916"/>
      <c r="J194" s="1909"/>
      <c r="K194" s="1909"/>
    </row>
    <row r="195" spans="1:11" x14ac:dyDescent="0.25">
      <c r="A195" s="1909"/>
      <c r="B195" s="1909"/>
      <c r="C195" s="1909"/>
      <c r="D195" s="1916"/>
      <c r="E195" s="1916"/>
      <c r="F195" s="1916"/>
      <c r="G195" s="1916"/>
      <c r="H195" s="1916"/>
      <c r="I195" s="1916"/>
      <c r="J195" s="1909"/>
      <c r="K195" s="1909"/>
    </row>
    <row r="196" spans="1:11" x14ac:dyDescent="0.25">
      <c r="A196" s="1909"/>
      <c r="B196" s="1909"/>
      <c r="C196" s="1909"/>
      <c r="D196" s="1916"/>
      <c r="E196" s="1916"/>
      <c r="F196" s="1916"/>
      <c r="G196" s="1916"/>
      <c r="H196" s="1916"/>
      <c r="I196" s="1916"/>
      <c r="J196" s="1909"/>
      <c r="K196" s="1909"/>
    </row>
    <row r="197" spans="1:11" x14ac:dyDescent="0.25">
      <c r="A197" s="1909"/>
      <c r="B197" s="1909"/>
      <c r="C197" s="1909"/>
      <c r="D197" s="1916"/>
      <c r="E197" s="1916"/>
      <c r="F197" s="1916"/>
      <c r="G197" s="1916"/>
      <c r="H197" s="1916"/>
      <c r="I197" s="1916"/>
      <c r="J197" s="1909"/>
      <c r="K197" s="1909"/>
    </row>
    <row r="198" spans="1:11" x14ac:dyDescent="0.25">
      <c r="A198" s="1909"/>
      <c r="B198" s="1909"/>
      <c r="C198" s="1909"/>
      <c r="D198" s="1916"/>
      <c r="E198" s="1916"/>
      <c r="F198" s="1916"/>
      <c r="G198" s="1916"/>
      <c r="H198" s="1916"/>
      <c r="I198" s="1916"/>
      <c r="J198" s="1909"/>
      <c r="K198" s="1909"/>
    </row>
    <row r="199" spans="1:11" x14ac:dyDescent="0.25">
      <c r="A199" s="1909"/>
      <c r="B199" s="1909"/>
      <c r="C199" s="1909"/>
      <c r="D199" s="1916"/>
      <c r="E199" s="1916"/>
      <c r="F199" s="1916"/>
      <c r="G199" s="1916"/>
      <c r="H199" s="1916"/>
      <c r="I199" s="1916"/>
      <c r="J199" s="1909"/>
      <c r="K199" s="1909"/>
    </row>
    <row r="200" spans="1:11" x14ac:dyDescent="0.25">
      <c r="A200" s="1909"/>
      <c r="B200" s="1909"/>
      <c r="C200" s="1909"/>
      <c r="D200" s="1916"/>
      <c r="E200" s="1916"/>
      <c r="F200" s="1916"/>
      <c r="G200" s="1916"/>
      <c r="H200" s="1916"/>
      <c r="I200" s="1916"/>
      <c r="J200" s="1909"/>
      <c r="K200" s="1909"/>
    </row>
    <row r="201" spans="1:11" x14ac:dyDescent="0.25">
      <c r="A201" s="1909"/>
      <c r="B201" s="1909"/>
      <c r="C201" s="1909"/>
      <c r="D201" s="1916"/>
      <c r="E201" s="1916"/>
      <c r="F201" s="1916"/>
      <c r="G201" s="1916"/>
      <c r="H201" s="1916"/>
      <c r="I201" s="1916"/>
      <c r="J201" s="1909"/>
      <c r="K201" s="1909"/>
    </row>
    <row r="202" spans="1:11" x14ac:dyDescent="0.25">
      <c r="A202" s="1909"/>
      <c r="B202" s="1909"/>
      <c r="C202" s="1909"/>
      <c r="D202" s="1916"/>
      <c r="E202" s="1916"/>
      <c r="F202" s="1916"/>
      <c r="G202" s="1916"/>
      <c r="H202" s="1916"/>
      <c r="I202" s="1916"/>
      <c r="J202" s="1909"/>
      <c r="K202" s="1909"/>
    </row>
    <row r="203" spans="1:11" x14ac:dyDescent="0.25">
      <c r="A203" s="1909"/>
      <c r="B203" s="1909"/>
      <c r="C203" s="1909"/>
      <c r="D203" s="1916"/>
      <c r="E203" s="1916"/>
      <c r="F203" s="1916"/>
      <c r="G203" s="1916"/>
      <c r="H203" s="1916"/>
      <c r="I203" s="1916"/>
      <c r="J203" s="1909"/>
      <c r="K203" s="1909"/>
    </row>
    <row r="204" spans="1:11" x14ac:dyDescent="0.25">
      <c r="A204" s="1909"/>
      <c r="B204" s="1909"/>
      <c r="C204" s="1909"/>
      <c r="D204" s="1916"/>
      <c r="E204" s="1916"/>
      <c r="F204" s="1916"/>
      <c r="G204" s="1916"/>
      <c r="H204" s="1916"/>
      <c r="I204" s="1916"/>
      <c r="J204" s="1909"/>
      <c r="K204" s="1909"/>
    </row>
    <row r="205" spans="1:11" x14ac:dyDescent="0.25">
      <c r="A205" s="1909"/>
      <c r="B205" s="1909"/>
      <c r="C205" s="1909"/>
      <c r="D205" s="1916"/>
      <c r="E205" s="1916"/>
      <c r="F205" s="1916"/>
      <c r="G205" s="1916"/>
      <c r="H205" s="1916"/>
      <c r="I205" s="1916"/>
      <c r="J205" s="1909"/>
      <c r="K205" s="1909"/>
    </row>
    <row r="206" spans="1:11" x14ac:dyDescent="0.25">
      <c r="A206" s="1909"/>
      <c r="B206" s="1909"/>
      <c r="C206" s="1909"/>
      <c r="D206" s="1916"/>
      <c r="E206" s="1916"/>
      <c r="F206" s="1916"/>
      <c r="G206" s="1916"/>
      <c r="H206" s="1916"/>
      <c r="I206" s="1916"/>
      <c r="J206" s="1909"/>
      <c r="K206" s="1909"/>
    </row>
    <row r="207" spans="1:11" x14ac:dyDescent="0.25">
      <c r="A207" s="1909"/>
      <c r="B207" s="1909"/>
      <c r="C207" s="1909"/>
      <c r="D207" s="1916"/>
      <c r="E207" s="1916"/>
      <c r="F207" s="1916"/>
      <c r="G207" s="1916"/>
      <c r="H207" s="1916"/>
      <c r="I207" s="1916"/>
      <c r="J207" s="1909"/>
      <c r="K207" s="1909"/>
    </row>
    <row r="208" spans="1:11" x14ac:dyDescent="0.25">
      <c r="A208" s="1909"/>
      <c r="B208" s="1909"/>
      <c r="C208" s="1909"/>
      <c r="D208" s="1916"/>
      <c r="E208" s="1916"/>
      <c r="F208" s="1916"/>
      <c r="G208" s="1916"/>
      <c r="H208" s="1916"/>
      <c r="I208" s="1916"/>
      <c r="J208" s="1909"/>
      <c r="K208" s="1909"/>
    </row>
    <row r="209" spans="1:11" x14ac:dyDescent="0.25">
      <c r="A209" s="1909"/>
      <c r="B209" s="1909"/>
      <c r="C209" s="1909"/>
      <c r="D209" s="1916"/>
      <c r="E209" s="1916"/>
      <c r="F209" s="1916"/>
      <c r="G209" s="1916"/>
      <c r="H209" s="1916"/>
      <c r="I209" s="1916"/>
      <c r="J209" s="1909"/>
      <c r="K209" s="1909"/>
    </row>
    <row r="210" spans="1:11" x14ac:dyDescent="0.25">
      <c r="A210" s="1909"/>
      <c r="B210" s="1909"/>
      <c r="C210" s="1909"/>
      <c r="D210" s="1916"/>
      <c r="E210" s="1916"/>
      <c r="F210" s="1916"/>
      <c r="G210" s="1916"/>
      <c r="H210" s="1916"/>
      <c r="I210" s="1916"/>
      <c r="J210" s="1909"/>
      <c r="K210" s="1909"/>
    </row>
    <row r="211" spans="1:11" x14ac:dyDescent="0.25">
      <c r="A211" s="1909"/>
      <c r="B211" s="1909"/>
      <c r="C211" s="1909"/>
      <c r="D211" s="1916"/>
      <c r="E211" s="1916"/>
      <c r="F211" s="1916"/>
      <c r="G211" s="1916"/>
      <c r="H211" s="1916"/>
      <c r="I211" s="1916"/>
      <c r="J211" s="1909"/>
      <c r="K211" s="1909"/>
    </row>
    <row r="212" spans="1:11" x14ac:dyDescent="0.25">
      <c r="A212" s="1909"/>
      <c r="B212" s="1909"/>
      <c r="C212" s="1909"/>
      <c r="D212" s="1916"/>
      <c r="E212" s="1916"/>
      <c r="F212" s="1916"/>
      <c r="G212" s="1916"/>
      <c r="H212" s="1916"/>
      <c r="I212" s="1916"/>
      <c r="J212" s="1909"/>
      <c r="K212" s="1909"/>
    </row>
    <row r="213" spans="1:11" x14ac:dyDescent="0.25">
      <c r="A213" s="1909"/>
      <c r="B213" s="1909"/>
      <c r="C213" s="1909"/>
      <c r="D213" s="1916"/>
      <c r="E213" s="1916"/>
      <c r="F213" s="1916"/>
      <c r="G213" s="1916"/>
      <c r="H213" s="1916"/>
      <c r="I213" s="1916"/>
      <c r="J213" s="1909"/>
      <c r="K213" s="1909"/>
    </row>
    <row r="214" spans="1:11" x14ac:dyDescent="0.25">
      <c r="A214" s="1909"/>
      <c r="B214" s="1909"/>
      <c r="C214" s="1909"/>
      <c r="D214" s="1916"/>
      <c r="E214" s="1916"/>
      <c r="F214" s="1916"/>
      <c r="G214" s="1916"/>
      <c r="H214" s="1916"/>
      <c r="I214" s="1916"/>
      <c r="J214" s="1909"/>
      <c r="K214" s="1909"/>
    </row>
    <row r="215" spans="1:11" x14ac:dyDescent="0.25">
      <c r="A215" s="1909"/>
      <c r="B215" s="1909"/>
      <c r="C215" s="1909"/>
      <c r="D215" s="1916"/>
      <c r="E215" s="1916"/>
      <c r="F215" s="1916"/>
      <c r="G215" s="1916"/>
      <c r="H215" s="1916"/>
      <c r="I215" s="1916"/>
      <c r="J215" s="1909"/>
      <c r="K215" s="1909"/>
    </row>
    <row r="216" spans="1:11" x14ac:dyDescent="0.25">
      <c r="A216" s="1909"/>
      <c r="B216" s="1909"/>
      <c r="C216" s="1909"/>
      <c r="D216" s="1916"/>
      <c r="E216" s="1916"/>
      <c r="F216" s="1916"/>
      <c r="G216" s="1916"/>
      <c r="H216" s="1916"/>
      <c r="I216" s="1916"/>
      <c r="J216" s="1909"/>
      <c r="K216" s="1909"/>
    </row>
    <row r="217" spans="1:11" x14ac:dyDescent="0.25">
      <c r="A217" s="1909"/>
      <c r="B217" s="1909"/>
      <c r="C217" s="1909"/>
      <c r="D217" s="1916"/>
      <c r="E217" s="1916"/>
      <c r="F217" s="1916"/>
      <c r="G217" s="1916"/>
      <c r="H217" s="1916"/>
      <c r="I217" s="1916"/>
      <c r="J217" s="1909"/>
      <c r="K217" s="1909"/>
    </row>
    <row r="218" spans="1:11" x14ac:dyDescent="0.25">
      <c r="A218" s="1909"/>
      <c r="B218" s="1909"/>
      <c r="C218" s="1909"/>
      <c r="D218" s="1916"/>
      <c r="E218" s="1916"/>
      <c r="F218" s="1916"/>
      <c r="G218" s="1916"/>
      <c r="H218" s="1916"/>
      <c r="I218" s="1916"/>
      <c r="J218" s="1909"/>
      <c r="K218" s="1909"/>
    </row>
    <row r="219" spans="1:11" x14ac:dyDescent="0.25">
      <c r="A219" s="1909"/>
      <c r="B219" s="1909"/>
      <c r="C219" s="1909"/>
      <c r="D219" s="1916"/>
      <c r="E219" s="1916"/>
      <c r="F219" s="1916"/>
      <c r="G219" s="1916"/>
      <c r="H219" s="1916"/>
      <c r="I219" s="1916"/>
      <c r="J219" s="1909"/>
      <c r="K219" s="1909"/>
    </row>
    <row r="220" spans="1:11" x14ac:dyDescent="0.25">
      <c r="A220" s="1909"/>
      <c r="B220" s="1909"/>
      <c r="C220" s="1909"/>
      <c r="D220" s="1916"/>
      <c r="E220" s="1916"/>
      <c r="F220" s="1916"/>
      <c r="G220" s="1916"/>
      <c r="H220" s="1916"/>
      <c r="I220" s="1916"/>
      <c r="J220" s="1909"/>
      <c r="K220" s="1909"/>
    </row>
    <row r="221" spans="1:11" x14ac:dyDescent="0.25">
      <c r="A221" s="1909"/>
      <c r="B221" s="1909"/>
      <c r="C221" s="1909"/>
      <c r="D221" s="1916"/>
      <c r="E221" s="1916"/>
      <c r="F221" s="1916"/>
      <c r="G221" s="1916"/>
      <c r="H221" s="1916"/>
      <c r="I221" s="1916"/>
      <c r="J221" s="1909"/>
      <c r="K221" s="1909"/>
    </row>
    <row r="222" spans="1:11" x14ac:dyDescent="0.25">
      <c r="A222" s="1909"/>
      <c r="B222" s="1909"/>
      <c r="C222" s="1909"/>
      <c r="D222" s="1916"/>
      <c r="E222" s="1916"/>
      <c r="F222" s="1916"/>
      <c r="G222" s="1916"/>
      <c r="H222" s="1916"/>
      <c r="I222" s="1916"/>
      <c r="J222" s="1909"/>
      <c r="K222" s="1909"/>
    </row>
    <row r="223" spans="1:11" x14ac:dyDescent="0.25">
      <c r="A223" s="1909"/>
      <c r="B223" s="1909"/>
      <c r="C223" s="1909"/>
      <c r="D223" s="1916"/>
      <c r="E223" s="1916"/>
      <c r="F223" s="1916"/>
      <c r="G223" s="1916"/>
      <c r="H223" s="1916"/>
      <c r="I223" s="1916"/>
      <c r="J223" s="1909"/>
      <c r="K223" s="1909"/>
    </row>
    <row r="224" spans="1:11" x14ac:dyDescent="0.25">
      <c r="A224" s="1909"/>
      <c r="B224" s="1909"/>
      <c r="C224" s="1909"/>
      <c r="D224" s="1916"/>
      <c r="E224" s="1916"/>
      <c r="F224" s="1916"/>
      <c r="G224" s="1916"/>
      <c r="H224" s="1916"/>
      <c r="I224" s="1916"/>
      <c r="J224" s="1909"/>
      <c r="K224" s="1909"/>
    </row>
    <row r="225" spans="1:11" x14ac:dyDescent="0.25">
      <c r="A225" s="1909"/>
      <c r="B225" s="1909"/>
      <c r="C225" s="1909"/>
      <c r="D225" s="1916"/>
      <c r="E225" s="1916"/>
      <c r="F225" s="1916"/>
      <c r="G225" s="1916"/>
      <c r="H225" s="1916"/>
      <c r="I225" s="1916"/>
      <c r="J225" s="1909"/>
      <c r="K225" s="1909"/>
    </row>
    <row r="226" spans="1:11" x14ac:dyDescent="0.25">
      <c r="A226" s="1909"/>
      <c r="B226" s="1909"/>
      <c r="C226" s="1909"/>
      <c r="D226" s="1916"/>
      <c r="E226" s="1916"/>
      <c r="F226" s="1916"/>
      <c r="G226" s="1916"/>
      <c r="H226" s="1916"/>
      <c r="I226" s="1916"/>
      <c r="J226" s="1909"/>
      <c r="K226" s="1909"/>
    </row>
    <row r="227" spans="1:11" x14ac:dyDescent="0.25">
      <c r="A227" s="1909"/>
      <c r="B227" s="1909"/>
      <c r="C227" s="1909"/>
      <c r="D227" s="1916"/>
      <c r="E227" s="1916"/>
      <c r="F227" s="1916"/>
      <c r="G227" s="1916"/>
      <c r="H227" s="1916"/>
      <c r="I227" s="1916"/>
      <c r="J227" s="1909"/>
      <c r="K227" s="1909"/>
    </row>
    <row r="228" spans="1:11" x14ac:dyDescent="0.25">
      <c r="A228" s="1909"/>
      <c r="B228" s="1909"/>
      <c r="C228" s="1909"/>
      <c r="D228" s="1916"/>
      <c r="E228" s="1916"/>
      <c r="F228" s="1916"/>
      <c r="G228" s="1916"/>
      <c r="H228" s="1916"/>
      <c r="I228" s="1916"/>
      <c r="J228" s="1909"/>
      <c r="K228" s="1909"/>
    </row>
    <row r="229" spans="1:11" x14ac:dyDescent="0.25">
      <c r="A229" s="1909"/>
      <c r="B229" s="1909"/>
      <c r="C229" s="1909"/>
      <c r="D229" s="1916"/>
      <c r="E229" s="1916"/>
      <c r="F229" s="1916"/>
      <c r="G229" s="1916"/>
      <c r="H229" s="1916"/>
      <c r="I229" s="1916"/>
      <c r="J229" s="1909"/>
      <c r="K229" s="1909"/>
    </row>
    <row r="230" spans="1:11" x14ac:dyDescent="0.25">
      <c r="A230" s="1909"/>
      <c r="B230" s="1909"/>
      <c r="C230" s="1909"/>
      <c r="D230" s="1916"/>
      <c r="E230" s="1916"/>
      <c r="F230" s="1916"/>
      <c r="G230" s="1916"/>
      <c r="H230" s="1916"/>
      <c r="I230" s="1916"/>
      <c r="J230" s="1909"/>
      <c r="K230" s="1909"/>
    </row>
    <row r="231" spans="1:11" x14ac:dyDescent="0.25">
      <c r="A231" s="1909"/>
      <c r="B231" s="1909"/>
      <c r="C231" s="1909"/>
      <c r="D231" s="1916"/>
      <c r="E231" s="1916"/>
      <c r="F231" s="1916"/>
      <c r="G231" s="1916"/>
      <c r="H231" s="1916"/>
      <c r="I231" s="1916"/>
      <c r="J231" s="1909"/>
      <c r="K231" s="1909"/>
    </row>
    <row r="232" spans="1:11" x14ac:dyDescent="0.25">
      <c r="A232" s="1909"/>
      <c r="B232" s="1909"/>
      <c r="C232" s="1909"/>
      <c r="D232" s="1916"/>
      <c r="E232" s="1916"/>
      <c r="F232" s="1916"/>
      <c r="G232" s="1916"/>
      <c r="H232" s="1916"/>
      <c r="I232" s="1916"/>
      <c r="J232" s="1909"/>
      <c r="K232" s="1909"/>
    </row>
    <row r="233" spans="1:11" x14ac:dyDescent="0.25">
      <c r="A233" s="1909"/>
      <c r="B233" s="1909"/>
      <c r="C233" s="1909"/>
      <c r="D233" s="1916"/>
      <c r="E233" s="1916"/>
      <c r="F233" s="1916"/>
      <c r="G233" s="1916"/>
      <c r="H233" s="1916"/>
      <c r="I233" s="1916"/>
      <c r="J233" s="1909"/>
      <c r="K233" s="1909"/>
    </row>
    <row r="234" spans="1:11" x14ac:dyDescent="0.25">
      <c r="A234" s="1909"/>
      <c r="B234" s="1909"/>
      <c r="C234" s="1909"/>
      <c r="D234" s="1916"/>
      <c r="E234" s="1916"/>
      <c r="F234" s="1916"/>
      <c r="G234" s="1916"/>
      <c r="H234" s="1916"/>
      <c r="I234" s="1916"/>
      <c r="J234" s="1909"/>
      <c r="K234" s="1909"/>
    </row>
    <row r="235" spans="1:11" x14ac:dyDescent="0.25">
      <c r="A235" s="1909"/>
      <c r="B235" s="1909"/>
      <c r="C235" s="1909"/>
      <c r="D235" s="1916"/>
      <c r="E235" s="1916"/>
      <c r="F235" s="1916"/>
      <c r="G235" s="1916"/>
      <c r="H235" s="1916"/>
      <c r="I235" s="1916"/>
      <c r="J235" s="1909"/>
      <c r="K235" s="1909"/>
    </row>
    <row r="236" spans="1:11" x14ac:dyDescent="0.25">
      <c r="A236" s="1909"/>
      <c r="B236" s="1909"/>
      <c r="C236" s="1909"/>
      <c r="D236" s="1916"/>
      <c r="E236" s="1916"/>
      <c r="F236" s="1916"/>
      <c r="G236" s="1916"/>
      <c r="H236" s="1916"/>
      <c r="I236" s="1916"/>
      <c r="J236" s="1909"/>
      <c r="K236" s="1909"/>
    </row>
    <row r="237" spans="1:11" x14ac:dyDescent="0.25">
      <c r="A237" s="1909"/>
      <c r="B237" s="1909"/>
      <c r="C237" s="1909"/>
      <c r="D237" s="1916"/>
      <c r="E237" s="1916"/>
      <c r="F237" s="1916"/>
      <c r="G237" s="1916"/>
      <c r="H237" s="1916"/>
      <c r="I237" s="1916"/>
      <c r="J237" s="1909"/>
      <c r="K237" s="1909"/>
    </row>
    <row r="238" spans="1:11" x14ac:dyDescent="0.25">
      <c r="A238" s="1909"/>
      <c r="B238" s="1909"/>
      <c r="C238" s="1909"/>
      <c r="D238" s="1916"/>
      <c r="E238" s="1916"/>
      <c r="F238" s="1916"/>
      <c r="G238" s="1916"/>
      <c r="H238" s="1916"/>
      <c r="I238" s="1916"/>
      <c r="J238" s="1909"/>
      <c r="K238" s="1909"/>
    </row>
    <row r="239" spans="1:11" x14ac:dyDescent="0.25">
      <c r="A239" s="1909"/>
      <c r="B239" s="1909"/>
      <c r="C239" s="1909"/>
      <c r="D239" s="1916"/>
      <c r="E239" s="1916"/>
      <c r="F239" s="1916"/>
      <c r="G239" s="1916"/>
      <c r="H239" s="1916"/>
      <c r="I239" s="1916"/>
      <c r="J239" s="1909"/>
      <c r="K239" s="1909"/>
    </row>
    <row r="240" spans="1:11" x14ac:dyDescent="0.25">
      <c r="A240" s="1909"/>
      <c r="B240" s="1909"/>
      <c r="C240" s="1909"/>
      <c r="D240" s="1916"/>
      <c r="E240" s="1916"/>
      <c r="F240" s="1916"/>
      <c r="G240" s="1916"/>
      <c r="H240" s="1916"/>
      <c r="I240" s="1916"/>
      <c r="J240" s="1909"/>
      <c r="K240" s="1909"/>
    </row>
    <row r="241" spans="1:11" x14ac:dyDescent="0.25">
      <c r="A241" s="1909"/>
      <c r="B241" s="1909"/>
      <c r="C241" s="1909"/>
      <c r="D241" s="1916"/>
      <c r="E241" s="1916"/>
      <c r="F241" s="1916"/>
      <c r="G241" s="1916"/>
      <c r="H241" s="1916"/>
      <c r="I241" s="1916"/>
      <c r="J241" s="1909"/>
      <c r="K241" s="1909"/>
    </row>
    <row r="242" spans="1:11" x14ac:dyDescent="0.25">
      <c r="A242" s="1909"/>
      <c r="B242" s="1909"/>
      <c r="C242" s="1909"/>
      <c r="D242" s="1916"/>
      <c r="E242" s="1916"/>
      <c r="F242" s="1916"/>
      <c r="G242" s="1916"/>
      <c r="H242" s="1916"/>
      <c r="I242" s="1916"/>
      <c r="J242" s="1909"/>
      <c r="K242" s="1909"/>
    </row>
    <row r="243" spans="1:11" x14ac:dyDescent="0.25">
      <c r="A243" s="1909"/>
      <c r="B243" s="1909"/>
      <c r="C243" s="1909"/>
      <c r="D243" s="1916"/>
      <c r="E243" s="1916"/>
      <c r="F243" s="1916"/>
      <c r="G243" s="1916"/>
      <c r="H243" s="1916"/>
      <c r="I243" s="1916"/>
      <c r="J243" s="1909"/>
      <c r="K243" s="1909"/>
    </row>
    <row r="244" spans="1:11" x14ac:dyDescent="0.25">
      <c r="A244" s="1909"/>
      <c r="B244" s="1909"/>
      <c r="C244" s="1909"/>
      <c r="D244" s="1916"/>
      <c r="E244" s="1916"/>
      <c r="F244" s="1916"/>
      <c r="G244" s="1916"/>
      <c r="H244" s="1916"/>
      <c r="I244" s="1916"/>
      <c r="J244" s="1909"/>
      <c r="K244" s="1909"/>
    </row>
    <row r="245" spans="1:11" x14ac:dyDescent="0.25">
      <c r="A245" s="1909"/>
      <c r="B245" s="1909"/>
      <c r="C245" s="1909"/>
      <c r="D245" s="1916"/>
      <c r="E245" s="1916"/>
      <c r="F245" s="1916"/>
      <c r="G245" s="1916"/>
      <c r="H245" s="1916"/>
      <c r="I245" s="1916"/>
      <c r="J245" s="1909"/>
      <c r="K245" s="1909"/>
    </row>
    <row r="246" spans="1:11" x14ac:dyDescent="0.25">
      <c r="A246" s="1909"/>
      <c r="B246" s="1909"/>
      <c r="C246" s="1909"/>
      <c r="D246" s="1916"/>
      <c r="E246" s="1916"/>
      <c r="F246" s="1916"/>
      <c r="G246" s="1916"/>
      <c r="H246" s="1916"/>
      <c r="I246" s="1916"/>
      <c r="J246" s="1909"/>
      <c r="K246" s="1909"/>
    </row>
    <row r="247" spans="1:11" x14ac:dyDescent="0.25">
      <c r="A247" s="1909"/>
      <c r="B247" s="1909"/>
      <c r="C247" s="1909"/>
      <c r="D247" s="1916"/>
      <c r="E247" s="1916"/>
      <c r="F247" s="1916"/>
      <c r="G247" s="1916"/>
      <c r="H247" s="1916"/>
      <c r="I247" s="1916"/>
      <c r="J247" s="1909"/>
      <c r="K247" s="1909"/>
    </row>
    <row r="248" spans="1:11" x14ac:dyDescent="0.25">
      <c r="A248" s="1909"/>
      <c r="B248" s="1909"/>
      <c r="C248" s="1909"/>
      <c r="D248" s="1916"/>
      <c r="E248" s="1916"/>
      <c r="F248" s="1916"/>
      <c r="G248" s="1916"/>
      <c r="H248" s="1916"/>
      <c r="I248" s="1916"/>
      <c r="J248" s="1909"/>
      <c r="K248" s="1909"/>
    </row>
    <row r="249" spans="1:11" x14ac:dyDescent="0.25">
      <c r="A249" s="1909"/>
      <c r="B249" s="1909"/>
      <c r="C249" s="1909"/>
      <c r="D249" s="1916"/>
      <c r="E249" s="1916"/>
      <c r="F249" s="1916"/>
      <c r="G249" s="1916"/>
      <c r="H249" s="1916"/>
      <c r="I249" s="1916"/>
      <c r="J249" s="1909"/>
      <c r="K249" s="1909"/>
    </row>
    <row r="250" spans="1:11" x14ac:dyDescent="0.25">
      <c r="A250" s="1909"/>
      <c r="B250" s="1909"/>
      <c r="C250" s="1909"/>
      <c r="D250" s="1916"/>
      <c r="E250" s="1916"/>
      <c r="F250" s="1916"/>
      <c r="G250" s="1916"/>
      <c r="H250" s="1916"/>
      <c r="I250" s="1916"/>
      <c r="J250" s="1909"/>
      <c r="K250" s="1909"/>
    </row>
    <row r="251" spans="1:11" x14ac:dyDescent="0.25">
      <c r="A251" s="1909"/>
      <c r="B251" s="1909"/>
      <c r="C251" s="1909"/>
      <c r="D251" s="1916"/>
      <c r="E251" s="1916"/>
      <c r="F251" s="1916"/>
      <c r="G251" s="1916"/>
      <c r="H251" s="1916"/>
      <c r="I251" s="1916"/>
      <c r="J251" s="1909"/>
      <c r="K251" s="1909"/>
    </row>
    <row r="252" spans="1:11" x14ac:dyDescent="0.25">
      <c r="A252" s="1909"/>
      <c r="B252" s="1909"/>
      <c r="C252" s="1909"/>
      <c r="D252" s="1916"/>
      <c r="E252" s="1916"/>
      <c r="F252" s="1916"/>
      <c r="G252" s="1916"/>
      <c r="H252" s="1916"/>
      <c r="I252" s="1916"/>
      <c r="J252" s="1909"/>
      <c r="K252" s="1909"/>
    </row>
    <row r="253" spans="1:11" x14ac:dyDescent="0.25">
      <c r="A253" s="1909"/>
      <c r="B253" s="1909"/>
      <c r="C253" s="1909"/>
      <c r="D253" s="1916"/>
      <c r="E253" s="1916"/>
      <c r="F253" s="1916"/>
      <c r="G253" s="1916"/>
      <c r="H253" s="1916"/>
      <c r="I253" s="1916"/>
      <c r="J253" s="1909"/>
      <c r="K253" s="1909"/>
    </row>
    <row r="254" spans="1:11" x14ac:dyDescent="0.25">
      <c r="A254" s="1909"/>
      <c r="B254" s="1909"/>
      <c r="C254" s="1909"/>
      <c r="D254" s="1916"/>
      <c r="E254" s="1916"/>
      <c r="F254" s="1916"/>
      <c r="G254" s="1916"/>
      <c r="H254" s="1916"/>
      <c r="I254" s="1916"/>
      <c r="J254" s="1909"/>
      <c r="K254" s="1909"/>
    </row>
    <row r="255" spans="1:11" x14ac:dyDescent="0.25">
      <c r="A255" s="1909"/>
      <c r="B255" s="1909"/>
      <c r="C255" s="1909"/>
      <c r="D255" s="1916"/>
      <c r="E255" s="1916"/>
      <c r="F255" s="1916"/>
      <c r="G255" s="1916"/>
      <c r="H255" s="1916"/>
      <c r="I255" s="1916"/>
      <c r="J255" s="1909"/>
      <c r="K255" s="1909"/>
    </row>
    <row r="256" spans="1:11" x14ac:dyDescent="0.25">
      <c r="A256" s="1909"/>
      <c r="B256" s="1909"/>
      <c r="C256" s="1909"/>
      <c r="D256" s="1916"/>
      <c r="E256" s="1916"/>
      <c r="F256" s="1916"/>
      <c r="G256" s="1916"/>
      <c r="H256" s="1916"/>
      <c r="I256" s="1916"/>
      <c r="J256" s="1909"/>
      <c r="K256" s="1909"/>
    </row>
    <row r="257" spans="1:11" x14ac:dyDescent="0.25">
      <c r="A257" s="1909"/>
      <c r="B257" s="1909"/>
      <c r="C257" s="1909"/>
      <c r="D257" s="1916"/>
      <c r="E257" s="1916"/>
      <c r="F257" s="1916"/>
      <c r="G257" s="1916"/>
      <c r="H257" s="1916"/>
      <c r="I257" s="1916"/>
      <c r="J257" s="1909"/>
      <c r="K257" s="1909"/>
    </row>
    <row r="258" spans="1:11" x14ac:dyDescent="0.25">
      <c r="A258" s="1909"/>
      <c r="B258" s="1909"/>
      <c r="C258" s="1909"/>
      <c r="D258" s="1916"/>
      <c r="E258" s="1916"/>
      <c r="F258" s="1916"/>
      <c r="G258" s="1916"/>
      <c r="H258" s="1916"/>
      <c r="I258" s="1916"/>
      <c r="J258" s="1909"/>
      <c r="K258" s="1909"/>
    </row>
    <row r="259" spans="1:11" x14ac:dyDescent="0.25">
      <c r="A259" s="1909"/>
      <c r="B259" s="1909"/>
      <c r="C259" s="1909"/>
      <c r="D259" s="1916"/>
      <c r="E259" s="1916"/>
      <c r="F259" s="1916"/>
      <c r="G259" s="1916"/>
      <c r="H259" s="1916"/>
      <c r="I259" s="1916"/>
      <c r="J259" s="1909"/>
      <c r="K259" s="1909"/>
    </row>
    <row r="260" spans="1:11" x14ac:dyDescent="0.25">
      <c r="A260" s="1909"/>
      <c r="B260" s="1909"/>
      <c r="C260" s="1909"/>
      <c r="D260" s="1916"/>
      <c r="E260" s="1916"/>
      <c r="F260" s="1916"/>
      <c r="G260" s="1916"/>
      <c r="H260" s="1916"/>
      <c r="I260" s="1916"/>
      <c r="J260" s="1909"/>
      <c r="K260" s="1909"/>
    </row>
    <row r="261" spans="1:11" x14ac:dyDescent="0.25">
      <c r="A261" s="1909"/>
      <c r="B261" s="1909"/>
      <c r="C261" s="1909"/>
      <c r="D261" s="1916"/>
      <c r="E261" s="1916"/>
      <c r="F261" s="1916"/>
      <c r="G261" s="1916"/>
      <c r="H261" s="1916"/>
      <c r="I261" s="1916"/>
      <c r="J261" s="1909"/>
      <c r="K261" s="1909"/>
    </row>
    <row r="262" spans="1:11" x14ac:dyDescent="0.25">
      <c r="A262" s="1909"/>
      <c r="B262" s="1909"/>
      <c r="C262" s="1909"/>
      <c r="D262" s="1916"/>
      <c r="E262" s="1916"/>
      <c r="F262" s="1916"/>
      <c r="G262" s="1916"/>
      <c r="H262" s="1916"/>
      <c r="I262" s="1916"/>
      <c r="J262" s="1909"/>
      <c r="K262" s="1909"/>
    </row>
    <row r="263" spans="1:11" x14ac:dyDescent="0.25">
      <c r="A263" s="1909"/>
      <c r="B263" s="1909"/>
      <c r="C263" s="1909"/>
      <c r="D263" s="1916"/>
      <c r="E263" s="1916"/>
      <c r="F263" s="1916"/>
      <c r="G263" s="1916"/>
      <c r="H263" s="1916"/>
      <c r="I263" s="1916"/>
      <c r="J263" s="1909"/>
      <c r="K263" s="1909"/>
    </row>
    <row r="264" spans="1:11" x14ac:dyDescent="0.25">
      <c r="A264" s="1909"/>
      <c r="B264" s="1909"/>
      <c r="C264" s="1909"/>
      <c r="D264" s="1916"/>
      <c r="E264" s="1916"/>
      <c r="F264" s="1916"/>
      <c r="G264" s="1916"/>
      <c r="H264" s="1916"/>
      <c r="I264" s="1916"/>
      <c r="J264" s="1909"/>
      <c r="K264" s="1909"/>
    </row>
    <row r="265" spans="1:11" x14ac:dyDescent="0.25">
      <c r="A265" s="1909"/>
      <c r="B265" s="1909"/>
      <c r="C265" s="1909"/>
      <c r="D265" s="1916"/>
      <c r="E265" s="1916"/>
      <c r="F265" s="1916"/>
      <c r="G265" s="1916"/>
      <c r="H265" s="1916"/>
      <c r="I265" s="1916"/>
      <c r="J265" s="1909"/>
      <c r="K265" s="1909"/>
    </row>
    <row r="266" spans="1:11" x14ac:dyDescent="0.25">
      <c r="A266" s="1909"/>
      <c r="B266" s="1909"/>
      <c r="C266" s="1909"/>
      <c r="D266" s="1916"/>
      <c r="E266" s="1916"/>
      <c r="F266" s="1916"/>
      <c r="G266" s="1916"/>
      <c r="H266" s="1916"/>
      <c r="I266" s="1916"/>
      <c r="J266" s="1909"/>
      <c r="K266" s="1909"/>
    </row>
    <row r="267" spans="1:11" x14ac:dyDescent="0.25">
      <c r="A267" s="1909"/>
      <c r="B267" s="1909"/>
      <c r="C267" s="1909"/>
      <c r="D267" s="1916"/>
      <c r="E267" s="1916"/>
      <c r="F267" s="1916"/>
      <c r="G267" s="1916"/>
      <c r="H267" s="1916"/>
      <c r="I267" s="1916"/>
      <c r="J267" s="1909"/>
      <c r="K267" s="1909"/>
    </row>
    <row r="268" spans="1:11" x14ac:dyDescent="0.25">
      <c r="A268" s="1909"/>
      <c r="B268" s="1909"/>
      <c r="C268" s="1909"/>
      <c r="D268" s="1916"/>
      <c r="E268" s="1916"/>
      <c r="F268" s="1916"/>
      <c r="G268" s="1916"/>
      <c r="H268" s="1916"/>
      <c r="I268" s="1916"/>
      <c r="J268" s="1909"/>
      <c r="K268" s="1909"/>
    </row>
    <row r="269" spans="1:11" x14ac:dyDescent="0.25">
      <c r="A269" s="1909"/>
      <c r="B269" s="1909"/>
      <c r="C269" s="1909"/>
      <c r="D269" s="1916"/>
      <c r="E269" s="1916"/>
      <c r="F269" s="1916"/>
      <c r="G269" s="1916"/>
      <c r="H269" s="1916"/>
      <c r="I269" s="1916"/>
      <c r="J269" s="1909"/>
      <c r="K269" s="1909"/>
    </row>
    <row r="270" spans="1:11" x14ac:dyDescent="0.25">
      <c r="A270" s="1909"/>
      <c r="B270" s="1909"/>
      <c r="C270" s="1909"/>
      <c r="D270" s="1916"/>
      <c r="E270" s="1916"/>
      <c r="F270" s="1916"/>
      <c r="G270" s="1916"/>
      <c r="H270" s="1916"/>
      <c r="I270" s="1916"/>
      <c r="J270" s="1909"/>
      <c r="K270" s="1909"/>
    </row>
    <row r="271" spans="1:11" x14ac:dyDescent="0.25">
      <c r="A271" s="1909"/>
      <c r="B271" s="1909"/>
      <c r="C271" s="1909"/>
      <c r="D271" s="1916"/>
      <c r="E271" s="1916"/>
      <c r="F271" s="1916"/>
      <c r="G271" s="1916"/>
      <c r="H271" s="1916"/>
      <c r="I271" s="1916"/>
      <c r="J271" s="1909"/>
      <c r="K271" s="1909"/>
    </row>
    <row r="272" spans="1:11" x14ac:dyDescent="0.25">
      <c r="A272" s="1909"/>
      <c r="B272" s="1909"/>
      <c r="C272" s="1909"/>
      <c r="D272" s="1916"/>
      <c r="E272" s="1916"/>
      <c r="F272" s="1916"/>
      <c r="G272" s="1916"/>
      <c r="H272" s="1916"/>
      <c r="I272" s="1916"/>
      <c r="J272" s="1909"/>
      <c r="K272" s="1909"/>
    </row>
    <row r="273" spans="1:11" x14ac:dyDescent="0.25">
      <c r="A273" s="1909"/>
      <c r="B273" s="1909"/>
      <c r="C273" s="1909"/>
      <c r="D273" s="1916"/>
      <c r="E273" s="1916"/>
      <c r="F273" s="1916"/>
      <c r="G273" s="1916"/>
      <c r="H273" s="1916"/>
      <c r="I273" s="1916"/>
      <c r="J273" s="1909"/>
      <c r="K273" s="1909"/>
    </row>
    <row r="274" spans="1:11" x14ac:dyDescent="0.25">
      <c r="A274" s="1909"/>
      <c r="B274" s="1909"/>
      <c r="C274" s="1909"/>
      <c r="D274" s="1916"/>
      <c r="E274" s="1916"/>
      <c r="F274" s="1916"/>
      <c r="G274" s="1916"/>
      <c r="H274" s="1916"/>
      <c r="I274" s="1916"/>
      <c r="J274" s="1909"/>
      <c r="K274" s="1909"/>
    </row>
    <row r="275" spans="1:11" x14ac:dyDescent="0.25">
      <c r="A275" s="1909"/>
      <c r="B275" s="1909"/>
      <c r="C275" s="1909"/>
      <c r="D275" s="1916"/>
      <c r="E275" s="1916"/>
      <c r="F275" s="1916"/>
      <c r="G275" s="1916"/>
      <c r="H275" s="1916"/>
      <c r="I275" s="1916"/>
      <c r="J275" s="1909"/>
      <c r="K275" s="1909"/>
    </row>
    <row r="276" spans="1:11" x14ac:dyDescent="0.25">
      <c r="A276" s="1909"/>
      <c r="B276" s="1909"/>
      <c r="C276" s="1909"/>
      <c r="D276" s="1916"/>
      <c r="E276" s="1916"/>
      <c r="F276" s="1916"/>
      <c r="G276" s="1916"/>
      <c r="H276" s="1916"/>
      <c r="I276" s="1916"/>
      <c r="J276" s="1909"/>
      <c r="K276" s="1909"/>
    </row>
    <row r="277" spans="1:11" x14ac:dyDescent="0.25">
      <c r="A277" s="1909"/>
      <c r="B277" s="1909"/>
      <c r="C277" s="1909"/>
      <c r="D277" s="1916"/>
      <c r="E277" s="1916"/>
      <c r="F277" s="1916"/>
      <c r="G277" s="1916"/>
      <c r="H277" s="1916"/>
      <c r="I277" s="1916"/>
      <c r="J277" s="1909"/>
      <c r="K277" s="1909"/>
    </row>
    <row r="278" spans="1:11" x14ac:dyDescent="0.25">
      <c r="A278" s="1909"/>
      <c r="B278" s="1909"/>
      <c r="C278" s="1909"/>
      <c r="D278" s="1916"/>
      <c r="E278" s="1916"/>
      <c r="F278" s="1916"/>
      <c r="G278" s="1916"/>
      <c r="H278" s="1916"/>
      <c r="I278" s="1916"/>
      <c r="J278" s="1909"/>
      <c r="K278" s="1909"/>
    </row>
  </sheetData>
  <sheetProtection password="E593" sheet="1" objects="1" scenarios="1"/>
  <customSheetViews>
    <customSheetView guid="{B63065A1-7838-417A-8679-08A8A2B79CD8}" scale="85" showPageBreaks="1" showGridLines="0" fitToPage="1" printArea="1">
      <selection activeCell="I3" sqref="I3"/>
      <rowBreaks count="1" manualBreakCount="1">
        <brk id="30" max="10" man="1"/>
      </rowBreaks>
      <pageMargins left="0.75" right="0.75" top="1" bottom="1" header="0.5" footer="0.5"/>
      <pageSetup scale="57" orientation="portrait" blackAndWhite="1" r:id="rId1"/>
      <headerFooter alignWithMargins="0"/>
    </customSheetView>
  </customSheetViews>
  <mergeCells count="10">
    <mergeCell ref="C3:I3"/>
    <mergeCell ref="C4:I4"/>
    <mergeCell ref="B73:J74"/>
    <mergeCell ref="C75:I84"/>
    <mergeCell ref="D39:E39"/>
    <mergeCell ref="F39:G39"/>
    <mergeCell ref="H39:I39"/>
    <mergeCell ref="C36:I36"/>
    <mergeCell ref="C35:I35"/>
    <mergeCell ref="C34:I34"/>
  </mergeCells>
  <pageMargins left="0.75" right="0.75" top="1" bottom="1" header="0.5" footer="0.5"/>
  <pageSetup scale="57" orientation="portrait" blackAndWhite="1" r:id="rId2"/>
  <headerFooter alignWithMargins="0"/>
  <rowBreaks count="2" manualBreakCount="2">
    <brk id="30" max="10" man="1"/>
    <brk id="31"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20481" r:id="rId5" name="Button 1">
              <controlPr defaultSize="0" print="0" autoFill="0" autoPict="0" macro="[0]!BackMain">
                <anchor moveWithCells="1" sizeWithCells="1">
                  <from>
                    <xdr:col>0</xdr:col>
                    <xdr:colOff>601980</xdr:colOff>
                    <xdr:row>0</xdr:row>
                    <xdr:rowOff>60960</xdr:rowOff>
                  </from>
                  <to>
                    <xdr:col>2</xdr:col>
                    <xdr:colOff>205740</xdr:colOff>
                    <xdr:row>1</xdr:row>
                    <xdr:rowOff>297180</xdr:rowOff>
                  </to>
                </anchor>
              </controlPr>
            </control>
          </mc:Choice>
        </mc:AlternateContent>
        <mc:AlternateContent xmlns:mc="http://schemas.openxmlformats.org/markup-compatibility/2006">
          <mc:Choice Requires="x14">
            <control shapeId="20482" r:id="rId6" name="Button 2">
              <controlPr defaultSize="0" print="0" autoFill="0" autoPict="0" macro="[0]!BackMain">
                <anchor moveWithCells="1" sizeWithCells="1">
                  <from>
                    <xdr:col>8</xdr:col>
                    <xdr:colOff>792480</xdr:colOff>
                    <xdr:row>85</xdr:row>
                    <xdr:rowOff>160020</xdr:rowOff>
                  </from>
                  <to>
                    <xdr:col>10</xdr:col>
                    <xdr:colOff>0</xdr:colOff>
                    <xdr:row>88</xdr:row>
                    <xdr:rowOff>99060</xdr:rowOff>
                  </to>
                </anchor>
              </controlPr>
            </control>
          </mc:Choice>
        </mc:AlternateContent>
        <mc:AlternateContent xmlns:mc="http://schemas.openxmlformats.org/markup-compatibility/2006">
          <mc:Choice Requires="x14">
            <control shapeId="20483" r:id="rId7" name="Button 3">
              <controlPr defaultSize="0" print="0" autoFill="0" autoPict="0" macro="[0]!PrintAttach15">
                <anchor moveWithCells="1" sizeWithCells="1">
                  <from>
                    <xdr:col>8</xdr:col>
                    <xdr:colOff>281940</xdr:colOff>
                    <xdr:row>0</xdr:row>
                    <xdr:rowOff>99060</xdr:rowOff>
                  </from>
                  <to>
                    <xdr:col>10</xdr:col>
                    <xdr:colOff>22860</xdr:colOff>
                    <xdr:row>1</xdr:row>
                    <xdr:rowOff>198120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pageSetUpPr autoPageBreaks="0" fitToPage="1"/>
  </sheetPr>
  <dimension ref="A1:E41"/>
  <sheetViews>
    <sheetView showGridLines="0" topLeftCell="A6" zoomScale="95" zoomScaleNormal="100" workbookViewId="0">
      <selection activeCell="D38" sqref="D38"/>
    </sheetView>
  </sheetViews>
  <sheetFormatPr defaultColWidth="9.109375" defaultRowHeight="13.2" x14ac:dyDescent="0.25"/>
  <cols>
    <col min="1" max="1" width="7.6640625" style="20" customWidth="1"/>
    <col min="2" max="2" width="2" style="20" customWidth="1"/>
    <col min="3" max="3" width="2.33203125" style="20" customWidth="1"/>
    <col min="4" max="4" width="109.88671875" style="16" customWidth="1"/>
    <col min="5" max="5" width="9.5546875" style="20" customWidth="1"/>
    <col min="6" max="16384" width="9.109375" style="16"/>
  </cols>
  <sheetData>
    <row r="1" spans="1:5" x14ac:dyDescent="0.25">
      <c r="A1" s="2158"/>
      <c r="B1" s="2158"/>
      <c r="C1" s="2158"/>
      <c r="D1" s="2158"/>
      <c r="E1" s="2158"/>
    </row>
    <row r="2" spans="1:5" ht="11.4" customHeight="1" thickBot="1" x14ac:dyDescent="0.3">
      <c r="A2" s="2158"/>
      <c r="B2" s="2158"/>
      <c r="C2" s="2158"/>
      <c r="D2" s="2158"/>
      <c r="E2" s="2158"/>
    </row>
    <row r="3" spans="1:5" ht="21.6" customHeight="1" x14ac:dyDescent="0.25">
      <c r="A3" s="2158"/>
      <c r="B3" s="2242" t="s">
        <v>1321</v>
      </c>
      <c r="C3" s="2243"/>
      <c r="D3" s="2244"/>
      <c r="E3" s="2158"/>
    </row>
    <row r="4" spans="1:5" ht="17.100000000000001" customHeight="1" x14ac:dyDescent="0.25">
      <c r="A4" s="2158"/>
      <c r="B4" s="2245" t="s">
        <v>1393</v>
      </c>
      <c r="C4" s="2246"/>
      <c r="D4" s="2247"/>
      <c r="E4" s="2158"/>
    </row>
    <row r="5" spans="1:5" ht="18.45" customHeight="1" thickBot="1" x14ac:dyDescent="0.3">
      <c r="A5" s="2158"/>
      <c r="B5" s="2248" t="s">
        <v>1484</v>
      </c>
      <c r="C5" s="2249"/>
      <c r="D5" s="2250"/>
      <c r="E5" s="2158"/>
    </row>
    <row r="6" spans="1:5" ht="54" customHeight="1" thickTop="1" x14ac:dyDescent="0.25">
      <c r="A6" s="2158"/>
      <c r="B6" s="2159"/>
      <c r="C6" s="2160"/>
      <c r="D6" s="2161" t="s">
        <v>1323</v>
      </c>
      <c r="E6" s="2158"/>
    </row>
    <row r="7" spans="1:5" ht="15" customHeight="1" x14ac:dyDescent="0.25">
      <c r="A7" s="2158"/>
      <c r="B7" s="2159"/>
      <c r="C7" s="2160"/>
      <c r="D7" s="2003" t="s">
        <v>1199</v>
      </c>
      <c r="E7" s="2158"/>
    </row>
    <row r="8" spans="1:5" ht="15" customHeight="1" x14ac:dyDescent="0.25">
      <c r="A8" s="2158"/>
      <c r="B8" s="2159"/>
      <c r="C8" s="2160"/>
      <c r="D8" s="2004" t="s">
        <v>32</v>
      </c>
      <c r="E8" s="2158"/>
    </row>
    <row r="9" spans="1:5" ht="15" customHeight="1" x14ac:dyDescent="0.25">
      <c r="A9" s="2158"/>
      <c r="B9" s="2159"/>
      <c r="C9" s="2160"/>
      <c r="D9" s="2004" t="s">
        <v>33</v>
      </c>
      <c r="E9" s="2158"/>
    </row>
    <row r="10" spans="1:5" ht="15" customHeight="1" x14ac:dyDescent="0.25">
      <c r="A10" s="2158"/>
      <c r="B10" s="2159"/>
      <c r="C10" s="2160"/>
      <c r="D10" s="2005" t="s">
        <v>910</v>
      </c>
      <c r="E10" s="2158"/>
    </row>
    <row r="11" spans="1:5" ht="15" customHeight="1" x14ac:dyDescent="0.25">
      <c r="A11" s="2158"/>
      <c r="B11" s="2159"/>
      <c r="C11" s="2160"/>
      <c r="D11" s="2005" t="s">
        <v>913</v>
      </c>
      <c r="E11" s="2158"/>
    </row>
    <row r="12" spans="1:5" ht="15" customHeight="1" x14ac:dyDescent="0.25">
      <c r="A12" s="2158"/>
      <c r="B12" s="2159"/>
      <c r="C12" s="2160"/>
      <c r="D12" s="2005" t="s">
        <v>931</v>
      </c>
      <c r="E12" s="2158"/>
    </row>
    <row r="13" spans="1:5" ht="15" customHeight="1" x14ac:dyDescent="0.25">
      <c r="A13" s="2158"/>
      <c r="B13" s="2159"/>
      <c r="C13" s="2160"/>
      <c r="D13" s="2005" t="s">
        <v>911</v>
      </c>
      <c r="E13" s="2158"/>
    </row>
    <row r="14" spans="1:5" ht="15" customHeight="1" x14ac:dyDescent="0.25">
      <c r="A14" s="2158"/>
      <c r="B14" s="2159"/>
      <c r="C14" s="2160"/>
      <c r="D14" s="2005" t="s">
        <v>912</v>
      </c>
      <c r="E14" s="2158"/>
    </row>
    <row r="15" spans="1:5" ht="15" customHeight="1" x14ac:dyDescent="0.25">
      <c r="A15" s="2158"/>
      <c r="B15" s="2159"/>
      <c r="C15" s="2160"/>
      <c r="D15" s="2005" t="s">
        <v>898</v>
      </c>
      <c r="E15" s="2158"/>
    </row>
    <row r="16" spans="1:5" ht="15" customHeight="1" x14ac:dyDescent="0.25">
      <c r="A16" s="2158"/>
      <c r="B16" s="2159"/>
      <c r="C16" s="2160"/>
      <c r="D16" s="2003" t="s">
        <v>34</v>
      </c>
      <c r="E16" s="2158"/>
    </row>
    <row r="17" spans="1:5" ht="15" customHeight="1" x14ac:dyDescent="0.25">
      <c r="A17" s="2158"/>
      <c r="B17" s="2159"/>
      <c r="C17" s="2160"/>
      <c r="D17" s="2003" t="s">
        <v>35</v>
      </c>
      <c r="E17" s="2158"/>
    </row>
    <row r="18" spans="1:5" ht="15" customHeight="1" x14ac:dyDescent="0.25">
      <c r="A18" s="2158"/>
      <c r="B18" s="2159"/>
      <c r="C18" s="2160"/>
      <c r="D18" s="2003" t="s">
        <v>36</v>
      </c>
      <c r="E18" s="2158"/>
    </row>
    <row r="19" spans="1:5" ht="15" customHeight="1" x14ac:dyDescent="0.25">
      <c r="A19" s="2158"/>
      <c r="B19" s="2159"/>
      <c r="C19" s="2160"/>
      <c r="D19" s="2003" t="s">
        <v>37</v>
      </c>
      <c r="E19" s="2158"/>
    </row>
    <row r="20" spans="1:5" ht="15" customHeight="1" x14ac:dyDescent="0.25">
      <c r="A20" s="2158"/>
      <c r="B20" s="2159"/>
      <c r="C20" s="2160"/>
      <c r="D20" s="2003" t="s">
        <v>38</v>
      </c>
      <c r="E20" s="2158"/>
    </row>
    <row r="21" spans="1:5" ht="15" customHeight="1" x14ac:dyDescent="0.25">
      <c r="A21" s="2158"/>
      <c r="B21" s="2159"/>
      <c r="C21" s="2160"/>
      <c r="D21" s="2005" t="s">
        <v>914</v>
      </c>
      <c r="E21" s="2158"/>
    </row>
    <row r="22" spans="1:5" ht="15" customHeight="1" x14ac:dyDescent="0.25">
      <c r="A22" s="2158"/>
      <c r="B22" s="2159"/>
      <c r="C22" s="2160"/>
      <c r="D22" s="2003" t="s">
        <v>39</v>
      </c>
      <c r="E22" s="2158"/>
    </row>
    <row r="23" spans="1:5" ht="15" customHeight="1" x14ac:dyDescent="0.25">
      <c r="A23" s="2158"/>
      <c r="B23" s="2159"/>
      <c r="C23" s="2160"/>
      <c r="D23" s="2003" t="s">
        <v>40</v>
      </c>
      <c r="E23" s="2158"/>
    </row>
    <row r="24" spans="1:5" ht="15" customHeight="1" x14ac:dyDescent="0.25">
      <c r="A24" s="2158"/>
      <c r="B24" s="2159"/>
      <c r="C24" s="2160"/>
      <c r="D24" s="2003" t="s">
        <v>41</v>
      </c>
      <c r="E24" s="2158"/>
    </row>
    <row r="25" spans="1:5" ht="15" customHeight="1" x14ac:dyDescent="0.25">
      <c r="A25" s="2158"/>
      <c r="B25" s="2159"/>
      <c r="C25" s="2160"/>
      <c r="D25" s="2005" t="s">
        <v>915</v>
      </c>
      <c r="E25" s="2158"/>
    </row>
    <row r="26" spans="1:5" ht="15" customHeight="1" x14ac:dyDescent="0.25">
      <c r="A26" s="2158"/>
      <c r="B26" s="2159"/>
      <c r="C26" s="2160"/>
      <c r="D26" s="2003" t="s">
        <v>42</v>
      </c>
      <c r="E26" s="2158"/>
    </row>
    <row r="27" spans="1:5" ht="15" customHeight="1" x14ac:dyDescent="0.25">
      <c r="A27" s="2158"/>
      <c r="B27" s="2159"/>
      <c r="C27" s="2160"/>
      <c r="D27" s="2003" t="s">
        <v>43</v>
      </c>
      <c r="E27" s="2158"/>
    </row>
    <row r="28" spans="1:5" ht="15" customHeight="1" x14ac:dyDescent="0.25">
      <c r="A28" s="2158"/>
      <c r="B28" s="2159"/>
      <c r="C28" s="2160"/>
      <c r="D28" s="2005" t="s">
        <v>916</v>
      </c>
      <c r="E28" s="2158"/>
    </row>
    <row r="29" spans="1:5" ht="15" customHeight="1" x14ac:dyDescent="0.25">
      <c r="A29" s="2158"/>
      <c r="B29" s="2159"/>
      <c r="C29" s="2160"/>
      <c r="D29" s="2003" t="s">
        <v>44</v>
      </c>
      <c r="E29" s="2158"/>
    </row>
    <row r="30" spans="1:5" ht="15" customHeight="1" x14ac:dyDescent="0.25">
      <c r="A30" s="2158"/>
      <c r="B30" s="2159"/>
      <c r="C30" s="2160"/>
      <c r="D30" s="2005" t="s">
        <v>897</v>
      </c>
      <c r="E30" s="2158"/>
    </row>
    <row r="31" spans="1:5" ht="15" customHeight="1" x14ac:dyDescent="0.25">
      <c r="A31" s="2158"/>
      <c r="B31" s="2159"/>
      <c r="C31" s="2160"/>
      <c r="D31" s="2003" t="s">
        <v>28</v>
      </c>
      <c r="E31" s="2158"/>
    </row>
    <row r="32" spans="1:5" ht="15" customHeight="1" x14ac:dyDescent="0.25">
      <c r="A32" s="2158"/>
      <c r="B32" s="2159"/>
      <c r="C32" s="2160"/>
      <c r="D32" s="2003" t="s">
        <v>1145</v>
      </c>
      <c r="E32" s="2158"/>
    </row>
    <row r="33" spans="1:5" ht="15" customHeight="1" x14ac:dyDescent="0.25">
      <c r="A33" s="2158"/>
      <c r="B33" s="2159"/>
      <c r="C33" s="2160"/>
      <c r="D33" s="2003" t="s">
        <v>1156</v>
      </c>
      <c r="E33" s="2158"/>
    </row>
    <row r="34" spans="1:5" ht="15" customHeight="1" x14ac:dyDescent="0.25">
      <c r="A34" s="2158"/>
      <c r="B34" s="2159"/>
      <c r="C34" s="2160"/>
      <c r="D34" s="2005" t="s">
        <v>102</v>
      </c>
      <c r="E34" s="2158"/>
    </row>
    <row r="35" spans="1:5" ht="15" customHeight="1" x14ac:dyDescent="0.25">
      <c r="A35" s="2158"/>
      <c r="B35" s="2159"/>
      <c r="C35" s="2160"/>
      <c r="D35" s="2005" t="s">
        <v>107</v>
      </c>
      <c r="E35" s="2158"/>
    </row>
    <row r="36" spans="1:5" ht="15" customHeight="1" x14ac:dyDescent="0.25">
      <c r="A36" s="2158"/>
      <c r="B36" s="2159"/>
      <c r="C36" s="2160"/>
      <c r="D36" s="2003" t="s">
        <v>45</v>
      </c>
      <c r="E36" s="2158"/>
    </row>
    <row r="37" spans="1:5" ht="15" customHeight="1" x14ac:dyDescent="0.25">
      <c r="A37" s="2158"/>
      <c r="B37" s="2159"/>
      <c r="C37" s="2160"/>
      <c r="D37" s="2003" t="s">
        <v>46</v>
      </c>
      <c r="E37" s="2158"/>
    </row>
    <row r="38" spans="1:5" ht="15" customHeight="1" x14ac:dyDescent="0.25">
      <c r="A38" s="2158"/>
      <c r="B38" s="2159"/>
      <c r="C38" s="2160"/>
      <c r="D38" s="2005" t="s">
        <v>917</v>
      </c>
      <c r="E38" s="2158"/>
    </row>
    <row r="39" spans="1:5" x14ac:dyDescent="0.25">
      <c r="A39" s="2158"/>
      <c r="B39" s="2162"/>
      <c r="C39" s="2163"/>
      <c r="D39" s="2155"/>
      <c r="E39" s="2158"/>
    </row>
    <row r="40" spans="1:5" ht="29.25" customHeight="1" x14ac:dyDescent="0.25">
      <c r="A40" s="2158"/>
      <c r="B40" s="2158"/>
      <c r="C40" s="2158"/>
      <c r="D40" s="2158"/>
      <c r="E40" s="2164"/>
    </row>
    <row r="41" spans="1:5" x14ac:dyDescent="0.25">
      <c r="A41" s="2165"/>
      <c r="B41" s="2165"/>
      <c r="C41" s="2165"/>
      <c r="D41" s="2165"/>
    </row>
  </sheetData>
  <sheetProtection password="E593" sheet="1" objects="1" scenarios="1"/>
  <mergeCells count="3">
    <mergeCell ref="B3:D3"/>
    <mergeCell ref="B4:D4"/>
    <mergeCell ref="B5:D5"/>
  </mergeCells>
  <hyperlinks>
    <hyperlink ref="D9" location="Attach1!A1" tooltip="Go to Instruction narrative" display="Attachment 1 – Listing of Largest Customers Billed During Latest 12 Months"/>
    <hyperlink ref="D16" location="Attach4!A1" tooltip="Go to Instruction narrative" display="Attachment 4 – Public Fire Protection Revenue-Test Year (Summary)"/>
    <hyperlink ref="D17" location="Attach5!A1" tooltip="Go to Instruction narrative" display="Attachment 5 – Public Fire Protection Revenue-Test Year (Detail)"/>
    <hyperlink ref="D18" location="Attach6!A1" tooltip="Go to Instruction narrative" display="Attachment 6 – Private Fire Protection Revenue-Test Year"/>
    <hyperlink ref="D19" location="Attach7!A1" tooltip="Go to Instruction narrative" display="Attachment 7 – Operating Revenues-Test Year (Summary)"/>
    <hyperlink ref="D20" location="Attach8!A1" tooltip="Go to Instruction narrative" display="Attachment 8 – Taxes-Test Year Summary"/>
    <hyperlink ref="D22" location="Attach10_D!A1" tooltip="Go to Instruction narrative" display="Attachment 10 – Operating Expenses"/>
    <hyperlink ref="D23" location="Attach11!A1" tooltip="Go to Instruction narrative" display="Attachment 11 and 11a– Utility Plant in Service"/>
    <hyperlink ref="D24" location="Attach12!A1" tooltip="Go to Instruction narrative" display="Attachment 12 – Depreciation Accrual and Expenses"/>
    <hyperlink ref="D27" location="Attach15!A1" tooltip="Go to Instruction narrative" display="Attachment 15 – Financing and Debt Summary"/>
    <hyperlink ref="D29" location="Attach17!A1" tooltip="Go to Instruction narrative" display="Attachment 17 – Miscellaneous Information"/>
    <hyperlink ref="D36" location="Attach22!A1" tooltip="Go to Instruction narrative" display="Attachment 22 – Step II Notes"/>
    <hyperlink ref="D8" location="Instructions!A49" tooltip="Go to Instruction narrative" display="Hearing – Telephonic Hearing Information"/>
    <hyperlink ref="D7" location="Contact_Info!A1" tooltip="Go to Instruction narrative" display="Contact Info – Application to Increase Rates Form"/>
    <hyperlink ref="D26" location="Attach14!A1" tooltip="Go to Instruction narrative" display="Attachment 14 – Estimated Rate Base and Increase Requested"/>
    <hyperlink ref="D31" location="Attach19!A1" display="Attachment 19 - Notes"/>
    <hyperlink ref="D10" location="Attach2A!A1" display="Attachment 2A – Consumer Analysis-Actual Latest 12 Months (Volume Sales)"/>
    <hyperlink ref="D11" location="Attach2B!A1" display="Attachment 2B - Consumer Analysis - Actual Latest 12 Months (Service Charges)"/>
    <hyperlink ref="D12" location="Attach2C!A1" display="Attachment 2C - Sales Historical Data and Forecasts"/>
    <hyperlink ref="D13" location="Attach3A!A1" display="Attachment 3A – Consumer Analysis-Test Year (Volume Sales)"/>
    <hyperlink ref="D14" location="Attach3B!A1" display="Attachment 3B - Consumer Analysis - Test Year (Service Charges)"/>
    <hyperlink ref="D15" location="Attach3W!A1" display="Attachment 3W - Wholesale Revenues"/>
    <hyperlink ref="D21" location="Attach9!A1" display="Attachment 9 – Payment in Lieu of Tax Expense"/>
    <hyperlink ref="D25" location="Attach13!A1" display="Attachment 13 –  Accumulated Depreciation, Materials &amp; Supplies Inventory, Regulatory Liability, and Other Adjustments"/>
    <hyperlink ref="D28" location="Attach16!A1" display="Attachment 16 – Impact Fees"/>
    <hyperlink ref="D30" location="Attach18!A1" display="Attachment 18 - Water Conservation Spending"/>
    <hyperlink ref="D34" location="Attach20!A1" display="Attachment 20 – Step II Major Plant Detail"/>
    <hyperlink ref="D35" location="Attach21!A1" display="Attachment 21 – Step II Summary"/>
    <hyperlink ref="D37" location="Edit_Checks!A1" display="Run Final Edit"/>
    <hyperlink ref="D38" location="Attach23!A1" display="Attachment 23 – Directions for Submitting Application to PSC"/>
    <hyperlink ref="D32" location="Attach19a!A1" display="Attachment 19a - Required Supplemental Information"/>
    <hyperlink ref="D33" location="Attach19b!A1" display="Attachment 19b - Credit Card Fees"/>
  </hyperlinks>
  <pageMargins left="0.5" right="0.5" top="1" bottom="0.5" header="0.5" footer="0.5"/>
  <pageSetup scale="72" orientation="portrait" useFirstPageNumber="1" r:id="rId1"/>
  <headerFooter alignWithMargins="0">
    <oddHeader xml:space="preserve">&amp;R&amp;8Page &amp;P </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tabColor rgb="FF92D050"/>
    <pageSetUpPr fitToPage="1"/>
  </sheetPr>
  <dimension ref="A1:O393"/>
  <sheetViews>
    <sheetView showGridLines="0" zoomScaleNormal="100" workbookViewId="0">
      <selection activeCell="I9" sqref="I9"/>
    </sheetView>
  </sheetViews>
  <sheetFormatPr defaultColWidth="9.109375" defaultRowHeight="13.2" x14ac:dyDescent="0.25"/>
  <cols>
    <col min="1" max="1" width="5.88671875" style="2" customWidth="1"/>
    <col min="2" max="2" width="12.44140625" style="2" customWidth="1"/>
    <col min="3" max="3" width="14" style="2" customWidth="1"/>
    <col min="4" max="7" width="9.109375" style="2"/>
    <col min="8" max="8" width="9" style="2" customWidth="1"/>
    <col min="9" max="9" width="11.5546875" style="2" customWidth="1"/>
    <col min="10" max="13" width="9.109375" style="2"/>
    <col min="14" max="14" width="12.5546875" style="2" customWidth="1"/>
    <col min="15" max="16384" width="9.109375" style="2"/>
  </cols>
  <sheetData>
    <row r="1" spans="1:14" x14ac:dyDescent="0.25">
      <c r="A1" s="865"/>
      <c r="B1" s="518" t="str">
        <f>TestYear &amp; " Test Year"</f>
        <v>2023 Test Year</v>
      </c>
      <c r="C1" s="475"/>
      <c r="D1" s="899"/>
      <c r="E1" s="899"/>
      <c r="F1" s="899"/>
      <c r="G1" s="899"/>
      <c r="H1" s="899"/>
      <c r="I1" s="900"/>
      <c r="J1" s="900" t="s">
        <v>656</v>
      </c>
      <c r="K1" s="865"/>
    </row>
    <row r="2" spans="1:14" x14ac:dyDescent="0.25">
      <c r="A2" s="865"/>
      <c r="B2" s="475"/>
      <c r="C2" s="475"/>
      <c r="D2" s="899"/>
      <c r="E2" s="899"/>
      <c r="F2" s="899"/>
      <c r="G2" s="899"/>
      <c r="H2" s="899"/>
      <c r="I2" s="901"/>
      <c r="J2" s="865"/>
      <c r="K2" s="865"/>
    </row>
    <row r="3" spans="1:14" x14ac:dyDescent="0.25">
      <c r="A3" s="865"/>
      <c r="B3" s="610"/>
      <c r="C3" s="2611" t="str">
        <f>Utility</f>
        <v>Cleveland Water Utility</v>
      </c>
      <c r="D3" s="2611"/>
      <c r="E3" s="2611"/>
      <c r="F3" s="2611"/>
      <c r="G3" s="2611"/>
      <c r="H3" s="2611"/>
      <c r="I3" s="2611"/>
      <c r="J3" s="865"/>
      <c r="K3" s="865"/>
    </row>
    <row r="4" spans="1:14" x14ac:dyDescent="0.25">
      <c r="A4" s="865"/>
      <c r="B4" s="610"/>
      <c r="C4" s="902"/>
      <c r="D4" s="548"/>
      <c r="E4" s="548"/>
      <c r="F4" s="548"/>
      <c r="G4" s="548"/>
      <c r="H4" s="548"/>
      <c r="I4" s="901"/>
      <c r="J4" s="865"/>
      <c r="K4" s="865"/>
    </row>
    <row r="5" spans="1:14" x14ac:dyDescent="0.25">
      <c r="A5" s="865"/>
      <c r="B5" s="770"/>
      <c r="C5" s="2612" t="s">
        <v>649</v>
      </c>
      <c r="D5" s="2612"/>
      <c r="E5" s="2612"/>
      <c r="F5" s="2612"/>
      <c r="G5" s="2612"/>
      <c r="H5" s="2612"/>
      <c r="I5" s="2612"/>
      <c r="J5" s="865"/>
      <c r="K5" s="865"/>
    </row>
    <row r="6" spans="1:14" ht="13.8" thickBot="1" x14ac:dyDescent="0.3">
      <c r="A6" s="865"/>
      <c r="B6" s="523"/>
      <c r="C6" s="888"/>
      <c r="D6" s="889"/>
      <c r="E6" s="890"/>
      <c r="F6" s="889"/>
      <c r="G6" s="889"/>
      <c r="H6" s="889"/>
      <c r="I6" s="891"/>
      <c r="J6" s="865"/>
      <c r="K6" s="865"/>
    </row>
    <row r="7" spans="1:14" ht="39.6" customHeight="1" thickTop="1" x14ac:dyDescent="0.25">
      <c r="A7" s="865"/>
      <c r="B7" s="892"/>
      <c r="C7" s="2622" t="s">
        <v>1352</v>
      </c>
      <c r="D7" s="2622"/>
      <c r="E7" s="2622"/>
      <c r="F7" s="2622"/>
      <c r="G7" s="2622"/>
      <c r="H7" s="2622"/>
      <c r="I7" s="2622"/>
      <c r="J7" s="876"/>
      <c r="K7" s="865"/>
    </row>
    <row r="8" spans="1:14" x14ac:dyDescent="0.25">
      <c r="A8" s="865"/>
      <c r="B8" s="877"/>
      <c r="C8" s="867"/>
      <c r="D8" s="867"/>
      <c r="E8" s="867"/>
      <c r="F8" s="867"/>
      <c r="G8" s="867"/>
      <c r="H8" s="867"/>
      <c r="I8" s="867"/>
      <c r="J8" s="878"/>
      <c r="K8" s="865"/>
    </row>
    <row r="9" spans="1:14" ht="27" customHeight="1" x14ac:dyDescent="0.25">
      <c r="A9" s="865"/>
      <c r="B9" s="877"/>
      <c r="C9" s="2625" t="s">
        <v>1005</v>
      </c>
      <c r="D9" s="2625"/>
      <c r="E9" s="2625"/>
      <c r="F9" s="2626"/>
      <c r="G9" s="1443" t="s">
        <v>963</v>
      </c>
      <c r="H9" s="867"/>
      <c r="I9" s="867"/>
      <c r="J9" s="878"/>
      <c r="K9" s="865"/>
    </row>
    <row r="10" spans="1:14" ht="12.75" customHeight="1" x14ac:dyDescent="0.25">
      <c r="A10" s="865"/>
      <c r="B10" s="880"/>
      <c r="C10" s="867"/>
      <c r="D10" s="867"/>
      <c r="E10" s="867"/>
      <c r="F10" s="867"/>
      <c r="G10" s="867"/>
      <c r="H10" s="867"/>
      <c r="I10" s="867"/>
      <c r="J10" s="878"/>
      <c r="K10" s="865"/>
      <c r="L10" s="2623" t="s">
        <v>965</v>
      </c>
      <c r="M10" s="2623"/>
      <c r="N10" s="2623"/>
    </row>
    <row r="11" spans="1:14" ht="12.75" customHeight="1" x14ac:dyDescent="0.25">
      <c r="A11" s="865"/>
      <c r="B11" s="880"/>
      <c r="C11" s="867" t="s">
        <v>650</v>
      </c>
      <c r="D11" s="867"/>
      <c r="E11" s="867"/>
      <c r="F11" s="867"/>
      <c r="G11" s="867"/>
      <c r="H11" s="867"/>
      <c r="I11" s="867"/>
      <c r="J11" s="878"/>
      <c r="K11" s="865"/>
      <c r="L11" s="2623"/>
      <c r="M11" s="2623"/>
      <c r="N11" s="2623"/>
    </row>
    <row r="12" spans="1:14" ht="12.75" customHeight="1" x14ac:dyDescent="0.25">
      <c r="A12" s="865"/>
      <c r="B12" s="880"/>
      <c r="C12" s="867"/>
      <c r="D12" s="867"/>
      <c r="E12" s="867"/>
      <c r="F12" s="867"/>
      <c r="G12" s="867"/>
      <c r="H12" s="867"/>
      <c r="I12" s="867"/>
      <c r="J12" s="878"/>
      <c r="K12" s="865"/>
      <c r="L12" s="2623"/>
      <c r="M12" s="2623"/>
      <c r="N12" s="2623"/>
    </row>
    <row r="13" spans="1:14" ht="12.75" customHeight="1" x14ac:dyDescent="0.25">
      <c r="A13" s="865"/>
      <c r="B13" s="893" t="s">
        <v>356</v>
      </c>
      <c r="C13" s="1444" t="s">
        <v>651</v>
      </c>
      <c r="D13" s="867"/>
      <c r="E13" s="867"/>
      <c r="F13" s="867"/>
      <c r="G13" s="867"/>
      <c r="H13" s="867"/>
      <c r="I13" s="867"/>
      <c r="J13" s="878"/>
      <c r="K13" s="865"/>
      <c r="L13" s="2623"/>
      <c r="M13" s="2623"/>
      <c r="N13" s="2623"/>
    </row>
    <row r="14" spans="1:14" ht="12.75" customHeight="1" x14ac:dyDescent="0.25">
      <c r="A14" s="865"/>
      <c r="B14" s="894"/>
      <c r="C14" s="2642"/>
      <c r="D14" s="2643"/>
      <c r="E14" s="2643"/>
      <c r="F14" s="2643"/>
      <c r="G14" s="2643"/>
      <c r="H14" s="2643"/>
      <c r="I14" s="2644"/>
      <c r="J14" s="878"/>
      <c r="K14" s="865"/>
      <c r="L14" s="2623"/>
      <c r="M14" s="2623"/>
      <c r="N14" s="2623"/>
    </row>
    <row r="15" spans="1:14" ht="12.75" customHeight="1" x14ac:dyDescent="0.25">
      <c r="A15" s="865"/>
      <c r="B15" s="894"/>
      <c r="C15" s="2645"/>
      <c r="D15" s="2646"/>
      <c r="E15" s="2646"/>
      <c r="F15" s="2646"/>
      <c r="G15" s="2646"/>
      <c r="H15" s="2646"/>
      <c r="I15" s="2647"/>
      <c r="J15" s="878"/>
      <c r="K15" s="865"/>
      <c r="L15" s="2623"/>
      <c r="M15" s="2623"/>
      <c r="N15" s="2623"/>
    </row>
    <row r="16" spans="1:14" ht="12.75" customHeight="1" x14ac:dyDescent="0.25">
      <c r="A16" s="865"/>
      <c r="B16" s="894"/>
      <c r="C16" s="2645"/>
      <c r="D16" s="2646"/>
      <c r="E16" s="2646"/>
      <c r="F16" s="2646"/>
      <c r="G16" s="2646"/>
      <c r="H16" s="2646"/>
      <c r="I16" s="2647"/>
      <c r="J16" s="878"/>
      <c r="K16" s="865"/>
      <c r="L16" s="2623"/>
      <c r="M16" s="2623"/>
      <c r="N16" s="2623"/>
    </row>
    <row r="17" spans="1:14" ht="12.75" customHeight="1" x14ac:dyDescent="0.25">
      <c r="A17" s="865"/>
      <c r="B17" s="894"/>
      <c r="C17" s="2645"/>
      <c r="D17" s="2646"/>
      <c r="E17" s="2646"/>
      <c r="F17" s="2646"/>
      <c r="G17" s="2646"/>
      <c r="H17" s="2646"/>
      <c r="I17" s="2647"/>
      <c r="J17" s="878"/>
      <c r="K17" s="865"/>
      <c r="L17" s="2623"/>
      <c r="M17" s="2623"/>
      <c r="N17" s="2623"/>
    </row>
    <row r="18" spans="1:14" ht="12.75" customHeight="1" x14ac:dyDescent="0.25">
      <c r="A18" s="865"/>
      <c r="B18" s="894"/>
      <c r="C18" s="2645"/>
      <c r="D18" s="2646"/>
      <c r="E18" s="2646"/>
      <c r="F18" s="2646"/>
      <c r="G18" s="2646"/>
      <c r="H18" s="2646"/>
      <c r="I18" s="2647"/>
      <c r="J18" s="878"/>
      <c r="K18" s="865"/>
      <c r="L18" s="2624" t="s">
        <v>966</v>
      </c>
      <c r="M18" s="2624"/>
      <c r="N18" s="2624"/>
    </row>
    <row r="19" spans="1:14" ht="12.75" customHeight="1" x14ac:dyDescent="0.25">
      <c r="A19" s="865"/>
      <c r="B19" s="894"/>
      <c r="C19" s="2645"/>
      <c r="D19" s="2646"/>
      <c r="E19" s="2646"/>
      <c r="F19" s="2646"/>
      <c r="G19" s="2646"/>
      <c r="H19" s="2646"/>
      <c r="I19" s="2647"/>
      <c r="J19" s="878"/>
      <c r="K19" s="865"/>
      <c r="L19" s="2624"/>
      <c r="M19" s="2624"/>
      <c r="N19" s="2624"/>
    </row>
    <row r="20" spans="1:14" ht="12.75" customHeight="1" x14ac:dyDescent="0.25">
      <c r="A20" s="865"/>
      <c r="B20" s="894"/>
      <c r="C20" s="2645"/>
      <c r="D20" s="2646"/>
      <c r="E20" s="2646"/>
      <c r="F20" s="2646"/>
      <c r="G20" s="2646"/>
      <c r="H20" s="2646"/>
      <c r="I20" s="2647"/>
      <c r="J20" s="878"/>
      <c r="K20" s="865"/>
      <c r="L20" s="2624"/>
      <c r="M20" s="2624"/>
      <c r="N20" s="2624"/>
    </row>
    <row r="21" spans="1:14" x14ac:dyDescent="0.25">
      <c r="A21" s="865"/>
      <c r="B21" s="894"/>
      <c r="C21" s="2645"/>
      <c r="D21" s="2646"/>
      <c r="E21" s="2646"/>
      <c r="F21" s="2646"/>
      <c r="G21" s="2646"/>
      <c r="H21" s="2646"/>
      <c r="I21" s="2647"/>
      <c r="J21" s="878"/>
      <c r="K21" s="865"/>
      <c r="L21" s="2624"/>
      <c r="M21" s="2624"/>
      <c r="N21" s="2624"/>
    </row>
    <row r="22" spans="1:14" x14ac:dyDescent="0.25">
      <c r="A22" s="865"/>
      <c r="B22" s="894"/>
      <c r="C22" s="2645"/>
      <c r="D22" s="2646"/>
      <c r="E22" s="2646"/>
      <c r="F22" s="2646"/>
      <c r="G22" s="2646"/>
      <c r="H22" s="2646"/>
      <c r="I22" s="2647"/>
      <c r="J22" s="878"/>
      <c r="K22" s="865"/>
      <c r="L22" s="2624"/>
      <c r="M22" s="2624"/>
      <c r="N22" s="2624"/>
    </row>
    <row r="23" spans="1:14" x14ac:dyDescent="0.25">
      <c r="A23" s="865"/>
      <c r="B23" s="894"/>
      <c r="C23" s="2645"/>
      <c r="D23" s="2646"/>
      <c r="E23" s="2646"/>
      <c r="F23" s="2646"/>
      <c r="G23" s="2646"/>
      <c r="H23" s="2646"/>
      <c r="I23" s="2647"/>
      <c r="J23" s="878"/>
      <c r="K23" s="865"/>
      <c r="L23" s="2624"/>
      <c r="M23" s="2624"/>
      <c r="N23" s="2624"/>
    </row>
    <row r="24" spans="1:14" x14ac:dyDescent="0.25">
      <c r="A24" s="865"/>
      <c r="B24" s="894"/>
      <c r="C24" s="2648"/>
      <c r="D24" s="2649"/>
      <c r="E24" s="2649"/>
      <c r="F24" s="2649"/>
      <c r="G24" s="2649"/>
      <c r="H24" s="2649"/>
      <c r="I24" s="2650"/>
      <c r="J24" s="878"/>
      <c r="K24" s="865"/>
      <c r="L24" s="2624"/>
      <c r="M24" s="2624"/>
      <c r="N24" s="2624"/>
    </row>
    <row r="25" spans="1:14" x14ac:dyDescent="0.25">
      <c r="A25" s="865"/>
      <c r="B25" s="894"/>
      <c r="C25" s="867"/>
      <c r="D25" s="867"/>
      <c r="E25" s="867"/>
      <c r="F25" s="867"/>
      <c r="G25" s="867"/>
      <c r="H25" s="867"/>
      <c r="I25" s="867"/>
      <c r="J25" s="878"/>
      <c r="K25" s="865"/>
      <c r="L25" s="2624"/>
      <c r="M25" s="2624"/>
      <c r="N25" s="2624"/>
    </row>
    <row r="26" spans="1:14" x14ac:dyDescent="0.25">
      <c r="A26" s="865"/>
      <c r="B26" s="893" t="s">
        <v>652</v>
      </c>
      <c r="C26" s="879" t="s">
        <v>653</v>
      </c>
      <c r="D26" s="867"/>
      <c r="E26" s="867"/>
      <c r="F26" s="867"/>
      <c r="G26" s="868"/>
      <c r="H26" s="867"/>
      <c r="I26" s="898"/>
      <c r="J26" s="878"/>
      <c r="K26" s="865"/>
      <c r="L26" s="2624"/>
      <c r="M26" s="2624"/>
      <c r="N26" s="2624"/>
    </row>
    <row r="27" spans="1:14" x14ac:dyDescent="0.25">
      <c r="A27" s="865"/>
      <c r="B27" s="894"/>
      <c r="C27" s="867"/>
      <c r="D27" s="867"/>
      <c r="E27" s="867"/>
      <c r="F27" s="867"/>
      <c r="G27" s="867"/>
      <c r="H27" s="867"/>
      <c r="I27" s="867"/>
      <c r="J27" s="878"/>
      <c r="K27" s="865"/>
      <c r="L27" s="2624"/>
      <c r="M27" s="2624"/>
      <c r="N27" s="2624"/>
    </row>
    <row r="28" spans="1:14" x14ac:dyDescent="0.25">
      <c r="A28" s="865"/>
      <c r="B28" s="893" t="s">
        <v>654</v>
      </c>
      <c r="C28" s="1444" t="s">
        <v>1059</v>
      </c>
      <c r="D28" s="867"/>
      <c r="E28" s="867"/>
      <c r="F28" s="867"/>
      <c r="G28" s="867"/>
      <c r="H28" s="867"/>
      <c r="I28" s="887"/>
      <c r="J28" s="878"/>
      <c r="K28" s="865"/>
      <c r="L28" s="2624"/>
      <c r="M28" s="2624"/>
      <c r="N28" s="2624"/>
    </row>
    <row r="29" spans="1:14" x14ac:dyDescent="0.25">
      <c r="A29" s="865"/>
      <c r="B29" s="894"/>
      <c r="C29" s="867"/>
      <c r="D29" s="867"/>
      <c r="E29" s="867"/>
      <c r="F29" s="867"/>
      <c r="G29" s="867"/>
      <c r="H29" s="867"/>
      <c r="I29" s="867"/>
      <c r="J29" s="878"/>
      <c r="K29" s="865"/>
      <c r="L29" s="2624"/>
      <c r="M29" s="2624"/>
      <c r="N29" s="2624"/>
    </row>
    <row r="30" spans="1:14" x14ac:dyDescent="0.25">
      <c r="A30" s="865"/>
      <c r="B30" s="903" t="s">
        <v>863</v>
      </c>
      <c r="C30" s="1444" t="s">
        <v>1019</v>
      </c>
      <c r="D30" s="867"/>
      <c r="E30" s="867"/>
      <c r="F30" s="867"/>
      <c r="G30" s="867"/>
      <c r="H30" s="868"/>
      <c r="I30" s="1545"/>
      <c r="J30" s="878"/>
      <c r="K30" s="865"/>
      <c r="L30" s="2624"/>
      <c r="M30" s="2624"/>
      <c r="N30" s="2624"/>
    </row>
    <row r="31" spans="1:14" x14ac:dyDescent="0.25">
      <c r="A31" s="865"/>
      <c r="B31" s="894"/>
      <c r="C31" s="867"/>
      <c r="D31" s="867"/>
      <c r="E31" s="867"/>
      <c r="F31" s="867"/>
      <c r="G31" s="867"/>
      <c r="H31" s="867"/>
      <c r="I31" s="867"/>
      <c r="J31" s="878"/>
      <c r="K31" s="865"/>
      <c r="L31" s="2624"/>
      <c r="M31" s="2624"/>
      <c r="N31" s="2624"/>
    </row>
    <row r="32" spans="1:14" x14ac:dyDescent="0.25">
      <c r="A32" s="865"/>
      <c r="B32" s="897" t="s">
        <v>862</v>
      </c>
      <c r="C32" s="867"/>
      <c r="D32" s="867"/>
      <c r="E32" s="867"/>
      <c r="F32" s="867"/>
      <c r="G32" s="867"/>
      <c r="H32" s="867"/>
      <c r="I32" s="867"/>
      <c r="J32" s="878"/>
      <c r="K32" s="865"/>
      <c r="L32" s="2624"/>
      <c r="M32" s="2624"/>
      <c r="N32" s="2624"/>
    </row>
    <row r="33" spans="1:15" x14ac:dyDescent="0.25">
      <c r="A33" s="865"/>
      <c r="B33" s="895" t="s">
        <v>655</v>
      </c>
      <c r="C33" s="867"/>
      <c r="D33" s="867"/>
      <c r="E33" s="867"/>
      <c r="F33" s="867"/>
      <c r="G33" s="867"/>
      <c r="H33" s="867"/>
      <c r="I33" s="867"/>
      <c r="J33" s="878"/>
      <c r="K33" s="865"/>
      <c r="L33" s="2624"/>
      <c r="M33" s="2624"/>
      <c r="N33" s="2624"/>
      <c r="O33" s="1127"/>
    </row>
    <row r="34" spans="1:15" ht="13.8" thickBot="1" x14ac:dyDescent="0.3">
      <c r="A34" s="865"/>
      <c r="B34" s="896"/>
      <c r="C34" s="883"/>
      <c r="D34" s="883"/>
      <c r="E34" s="883"/>
      <c r="F34" s="883"/>
      <c r="G34" s="883"/>
      <c r="H34" s="883"/>
      <c r="I34" s="883"/>
      <c r="J34" s="884"/>
      <c r="K34" s="865"/>
      <c r="L34" s="1363"/>
      <c r="M34" s="1363"/>
      <c r="N34" s="1363"/>
      <c r="O34" s="1127"/>
    </row>
    <row r="35" spans="1:15" ht="13.8" thickTop="1" x14ac:dyDescent="0.25">
      <c r="A35" s="865"/>
      <c r="B35" s="886"/>
      <c r="C35" s="865"/>
      <c r="D35" s="865"/>
      <c r="E35" s="865"/>
      <c r="F35" s="865"/>
      <c r="G35" s="865"/>
      <c r="H35" s="865"/>
      <c r="I35" s="865"/>
      <c r="J35" s="865"/>
      <c r="K35" s="865"/>
      <c r="L35" s="1363"/>
      <c r="M35" s="1363"/>
      <c r="N35" s="1363"/>
      <c r="O35" s="1127"/>
    </row>
    <row r="36" spans="1:15" x14ac:dyDescent="0.25">
      <c r="A36" s="865"/>
      <c r="B36" s="2627" t="s">
        <v>1232</v>
      </c>
      <c r="C36" s="2628"/>
      <c r="D36" s="2628"/>
      <c r="E36" s="2628"/>
      <c r="F36" s="2628"/>
      <c r="G36" s="2628"/>
      <c r="H36" s="2628"/>
      <c r="I36" s="2628"/>
      <c r="J36" s="2629"/>
      <c r="K36" s="865"/>
      <c r="L36" s="1363"/>
      <c r="M36" s="1363"/>
      <c r="N36" s="1363"/>
      <c r="O36" s="1127"/>
    </row>
    <row r="37" spans="1:15" x14ac:dyDescent="0.25">
      <c r="A37" s="865"/>
      <c r="B37" s="2630"/>
      <c r="C37" s="2631"/>
      <c r="D37" s="2631"/>
      <c r="E37" s="2631"/>
      <c r="F37" s="2631"/>
      <c r="G37" s="2631"/>
      <c r="H37" s="2631"/>
      <c r="I37" s="2631"/>
      <c r="J37" s="2632"/>
      <c r="K37" s="865"/>
      <c r="L37" s="1363"/>
      <c r="M37" s="1363"/>
      <c r="N37" s="1363"/>
      <c r="O37" s="1127"/>
    </row>
    <row r="38" spans="1:15" x14ac:dyDescent="0.25">
      <c r="A38" s="865"/>
      <c r="B38" s="1935"/>
      <c r="C38" s="2633"/>
      <c r="D38" s="2634"/>
      <c r="E38" s="2634"/>
      <c r="F38" s="2634"/>
      <c r="G38" s="2634"/>
      <c r="H38" s="2634"/>
      <c r="I38" s="2635"/>
      <c r="J38" s="1936"/>
      <c r="K38" s="865"/>
      <c r="L38" s="1363"/>
      <c r="M38" s="1363"/>
      <c r="N38" s="1363"/>
      <c r="O38" s="1127"/>
    </row>
    <row r="39" spans="1:15" x14ac:dyDescent="0.25">
      <c r="A39" s="865"/>
      <c r="B39" s="1935"/>
      <c r="C39" s="2636"/>
      <c r="D39" s="2637"/>
      <c r="E39" s="2637"/>
      <c r="F39" s="2637"/>
      <c r="G39" s="2637"/>
      <c r="H39" s="2637"/>
      <c r="I39" s="2638"/>
      <c r="J39" s="1936"/>
      <c r="K39" s="865"/>
      <c r="L39" s="1363"/>
      <c r="M39" s="1363"/>
      <c r="N39" s="1363"/>
      <c r="O39" s="1127"/>
    </row>
    <row r="40" spans="1:15" x14ac:dyDescent="0.25">
      <c r="A40" s="865"/>
      <c r="B40" s="1935"/>
      <c r="C40" s="2636"/>
      <c r="D40" s="2637"/>
      <c r="E40" s="2637"/>
      <c r="F40" s="2637"/>
      <c r="G40" s="2637"/>
      <c r="H40" s="2637"/>
      <c r="I40" s="2638"/>
      <c r="J40" s="1936"/>
      <c r="K40" s="865"/>
      <c r="L40" s="1363"/>
      <c r="M40" s="1363"/>
      <c r="N40" s="1363"/>
      <c r="O40" s="1127"/>
    </row>
    <row r="41" spans="1:15" x14ac:dyDescent="0.25">
      <c r="A41" s="865"/>
      <c r="B41" s="1935"/>
      <c r="C41" s="2636"/>
      <c r="D41" s="2637"/>
      <c r="E41" s="2637"/>
      <c r="F41" s="2637"/>
      <c r="G41" s="2637"/>
      <c r="H41" s="2637"/>
      <c r="I41" s="2638"/>
      <c r="J41" s="1936"/>
      <c r="K41" s="865"/>
      <c r="L41" s="1363"/>
      <c r="M41" s="1363"/>
      <c r="N41" s="1363"/>
      <c r="O41" s="1127"/>
    </row>
    <row r="42" spans="1:15" x14ac:dyDescent="0.25">
      <c r="A42" s="865"/>
      <c r="B42" s="1935"/>
      <c r="C42" s="2636"/>
      <c r="D42" s="2637"/>
      <c r="E42" s="2637"/>
      <c r="F42" s="2637"/>
      <c r="G42" s="2637"/>
      <c r="H42" s="2637"/>
      <c r="I42" s="2638"/>
      <c r="J42" s="1936"/>
      <c r="K42" s="865"/>
      <c r="L42" s="1363"/>
      <c r="M42" s="1363"/>
      <c r="N42" s="1363"/>
      <c r="O42" s="1127"/>
    </row>
    <row r="43" spans="1:15" x14ac:dyDescent="0.25">
      <c r="A43" s="865"/>
      <c r="B43" s="1935"/>
      <c r="C43" s="2636"/>
      <c r="D43" s="2637"/>
      <c r="E43" s="2637"/>
      <c r="F43" s="2637"/>
      <c r="G43" s="2637"/>
      <c r="H43" s="2637"/>
      <c r="I43" s="2638"/>
      <c r="J43" s="1936"/>
      <c r="K43" s="865"/>
      <c r="L43" s="1363"/>
      <c r="M43" s="1363"/>
      <c r="N43" s="1363"/>
      <c r="O43" s="1127"/>
    </row>
    <row r="44" spans="1:15" x14ac:dyDescent="0.25">
      <c r="A44" s="865"/>
      <c r="B44" s="1935"/>
      <c r="C44" s="2636"/>
      <c r="D44" s="2637"/>
      <c r="E44" s="2637"/>
      <c r="F44" s="2637"/>
      <c r="G44" s="2637"/>
      <c r="H44" s="2637"/>
      <c r="I44" s="2638"/>
      <c r="J44" s="1936"/>
      <c r="K44" s="865"/>
      <c r="L44" s="1363"/>
      <c r="M44" s="1363"/>
      <c r="N44" s="1363"/>
      <c r="O44" s="1127"/>
    </row>
    <row r="45" spans="1:15" x14ac:dyDescent="0.25">
      <c r="A45" s="865"/>
      <c r="B45" s="1935"/>
      <c r="C45" s="2636"/>
      <c r="D45" s="2637"/>
      <c r="E45" s="2637"/>
      <c r="F45" s="2637"/>
      <c r="G45" s="2637"/>
      <c r="H45" s="2637"/>
      <c r="I45" s="2638"/>
      <c r="J45" s="1936"/>
      <c r="K45" s="865"/>
      <c r="L45" s="1363"/>
      <c r="M45" s="1363"/>
      <c r="N45" s="1363"/>
      <c r="O45" s="1127"/>
    </row>
    <row r="46" spans="1:15" x14ac:dyDescent="0.25">
      <c r="A46" s="865"/>
      <c r="B46" s="1935"/>
      <c r="C46" s="2636"/>
      <c r="D46" s="2637"/>
      <c r="E46" s="2637"/>
      <c r="F46" s="2637"/>
      <c r="G46" s="2637"/>
      <c r="H46" s="2637"/>
      <c r="I46" s="2638"/>
      <c r="J46" s="1936"/>
      <c r="K46" s="865"/>
      <c r="L46" s="1363"/>
      <c r="M46" s="1363"/>
      <c r="N46" s="1363"/>
      <c r="O46" s="1127"/>
    </row>
    <row r="47" spans="1:15" x14ac:dyDescent="0.25">
      <c r="A47" s="865"/>
      <c r="B47" s="1935"/>
      <c r="C47" s="2636"/>
      <c r="D47" s="2637"/>
      <c r="E47" s="2637"/>
      <c r="F47" s="2637"/>
      <c r="G47" s="2637"/>
      <c r="H47" s="2637"/>
      <c r="I47" s="2638"/>
      <c r="J47" s="1936"/>
      <c r="K47" s="865"/>
      <c r="L47" s="1363"/>
      <c r="M47" s="1363"/>
      <c r="N47" s="1363"/>
      <c r="O47" s="1127"/>
    </row>
    <row r="48" spans="1:15" x14ac:dyDescent="0.25">
      <c r="A48" s="865"/>
      <c r="B48" s="1935"/>
      <c r="C48" s="2636"/>
      <c r="D48" s="2637"/>
      <c r="E48" s="2637"/>
      <c r="F48" s="2637"/>
      <c r="G48" s="2637"/>
      <c r="H48" s="2637"/>
      <c r="I48" s="2638"/>
      <c r="J48" s="1936"/>
      <c r="K48" s="865"/>
      <c r="L48" s="1363"/>
      <c r="M48" s="1363"/>
      <c r="N48" s="1363"/>
      <c r="O48" s="1127"/>
    </row>
    <row r="49" spans="1:15" x14ac:dyDescent="0.25">
      <c r="A49" s="865"/>
      <c r="B49" s="1935"/>
      <c r="C49" s="2636"/>
      <c r="D49" s="2637"/>
      <c r="E49" s="2637"/>
      <c r="F49" s="2637"/>
      <c r="G49" s="2637"/>
      <c r="H49" s="2637"/>
      <c r="I49" s="2638"/>
      <c r="J49" s="1936"/>
      <c r="K49" s="865"/>
      <c r="L49" s="1363"/>
      <c r="M49" s="1363"/>
      <c r="N49" s="1363"/>
      <c r="O49" s="1127"/>
    </row>
    <row r="50" spans="1:15" x14ac:dyDescent="0.25">
      <c r="A50" s="865"/>
      <c r="B50" s="1935"/>
      <c r="C50" s="2636"/>
      <c r="D50" s="2637"/>
      <c r="E50" s="2637"/>
      <c r="F50" s="2637"/>
      <c r="G50" s="2637"/>
      <c r="H50" s="2637"/>
      <c r="I50" s="2638"/>
      <c r="J50" s="1936"/>
      <c r="K50" s="865"/>
      <c r="L50" s="1363"/>
      <c r="M50" s="1363"/>
      <c r="N50" s="1363"/>
      <c r="O50" s="1127"/>
    </row>
    <row r="51" spans="1:15" x14ac:dyDescent="0.25">
      <c r="A51" s="865"/>
      <c r="B51" s="1935"/>
      <c r="C51" s="2636"/>
      <c r="D51" s="2637"/>
      <c r="E51" s="2637"/>
      <c r="F51" s="2637"/>
      <c r="G51" s="2637"/>
      <c r="H51" s="2637"/>
      <c r="I51" s="2638"/>
      <c r="J51" s="1936"/>
      <c r="K51" s="865"/>
      <c r="L51" s="1363"/>
      <c r="M51" s="1363"/>
      <c r="N51" s="1363"/>
      <c r="O51" s="1127"/>
    </row>
    <row r="52" spans="1:15" x14ac:dyDescent="0.25">
      <c r="A52" s="865"/>
      <c r="B52" s="1935"/>
      <c r="C52" s="2636"/>
      <c r="D52" s="2637"/>
      <c r="E52" s="2637"/>
      <c r="F52" s="2637"/>
      <c r="G52" s="2637"/>
      <c r="H52" s="2637"/>
      <c r="I52" s="2638"/>
      <c r="J52" s="1936"/>
      <c r="K52" s="865"/>
      <c r="L52" s="1363"/>
      <c r="M52" s="1363"/>
      <c r="N52" s="1363"/>
      <c r="O52" s="1127"/>
    </row>
    <row r="53" spans="1:15" x14ac:dyDescent="0.25">
      <c r="A53" s="865"/>
      <c r="B53" s="1935"/>
      <c r="C53" s="2636"/>
      <c r="D53" s="2637"/>
      <c r="E53" s="2637"/>
      <c r="F53" s="2637"/>
      <c r="G53" s="2637"/>
      <c r="H53" s="2637"/>
      <c r="I53" s="2638"/>
      <c r="J53" s="1936"/>
      <c r="K53" s="865"/>
      <c r="L53" s="1363"/>
      <c r="M53" s="1363"/>
      <c r="N53" s="1363"/>
      <c r="O53" s="1127"/>
    </row>
    <row r="54" spans="1:15" x14ac:dyDescent="0.25">
      <c r="A54" s="865"/>
      <c r="B54" s="1935"/>
      <c r="C54" s="2639"/>
      <c r="D54" s="2640"/>
      <c r="E54" s="2640"/>
      <c r="F54" s="2640"/>
      <c r="G54" s="2640"/>
      <c r="H54" s="2640"/>
      <c r="I54" s="2641"/>
      <c r="J54" s="1936"/>
      <c r="K54" s="865"/>
      <c r="L54" s="1363"/>
      <c r="M54" s="1363"/>
      <c r="N54" s="1363"/>
      <c r="O54" s="1127"/>
    </row>
    <row r="55" spans="1:15" x14ac:dyDescent="0.25">
      <c r="A55" s="865"/>
      <c r="B55" s="1937"/>
      <c r="C55" s="1938"/>
      <c r="D55" s="1938"/>
      <c r="E55" s="1938"/>
      <c r="F55" s="1938"/>
      <c r="G55" s="1938"/>
      <c r="H55" s="1938"/>
      <c r="I55" s="1938"/>
      <c r="J55" s="1939"/>
      <c r="K55" s="865"/>
      <c r="L55" s="1363"/>
      <c r="M55" s="1363"/>
      <c r="N55" s="1363"/>
      <c r="O55" s="1127"/>
    </row>
    <row r="56" spans="1:15" x14ac:dyDescent="0.25">
      <c r="A56" s="865"/>
      <c r="B56" s="865"/>
      <c r="C56" s="865"/>
      <c r="D56" s="865"/>
      <c r="E56" s="865"/>
      <c r="F56" s="865"/>
      <c r="G56" s="865"/>
      <c r="H56" s="865"/>
      <c r="I56" s="865"/>
      <c r="J56" s="865"/>
      <c r="K56" s="865"/>
      <c r="L56" s="1363"/>
      <c r="M56" s="1363"/>
      <c r="N56" s="1363"/>
      <c r="O56" s="1127"/>
    </row>
    <row r="57" spans="1:15" x14ac:dyDescent="0.25">
      <c r="A57" s="865"/>
      <c r="B57" s="865"/>
      <c r="C57" s="865"/>
      <c r="D57" s="865"/>
      <c r="E57" s="865"/>
      <c r="F57" s="865"/>
      <c r="G57" s="865"/>
      <c r="H57" s="865"/>
      <c r="I57" s="865"/>
      <c r="J57" s="865"/>
      <c r="K57" s="865"/>
      <c r="L57" s="1363"/>
      <c r="M57" s="1363"/>
      <c r="N57" s="1363"/>
      <c r="O57" s="1127"/>
    </row>
    <row r="58" spans="1:15" s="1940" customFormat="1" x14ac:dyDescent="0.25">
      <c r="L58" s="1941"/>
      <c r="M58" s="1941"/>
      <c r="N58" s="1941"/>
    </row>
    <row r="59" spans="1:15" s="1940" customFormat="1" x14ac:dyDescent="0.25">
      <c r="L59" s="1941"/>
      <c r="M59" s="1941"/>
      <c r="N59" s="1941"/>
    </row>
    <row r="60" spans="1:15" s="1940" customFormat="1" x14ac:dyDescent="0.25"/>
    <row r="61" spans="1:15" s="1940" customFormat="1" x14ac:dyDescent="0.25"/>
    <row r="62" spans="1:15" s="1940" customFormat="1" x14ac:dyDescent="0.25"/>
    <row r="63" spans="1:15" s="1940" customFormat="1" x14ac:dyDescent="0.25"/>
    <row r="64" spans="1:15" s="1940" customFormat="1" x14ac:dyDescent="0.25"/>
    <row r="65" s="1940" customFormat="1" x14ac:dyDescent="0.25"/>
    <row r="66" s="1940" customFormat="1" x14ac:dyDescent="0.25"/>
    <row r="67" s="1940" customFormat="1" x14ac:dyDescent="0.25"/>
    <row r="68" s="1940" customFormat="1" x14ac:dyDescent="0.25"/>
    <row r="69" s="1940" customFormat="1" x14ac:dyDescent="0.25"/>
    <row r="70" s="1940" customFormat="1" x14ac:dyDescent="0.25"/>
    <row r="71" s="1940" customFormat="1" x14ac:dyDescent="0.25"/>
    <row r="72" s="1940" customFormat="1" x14ac:dyDescent="0.25"/>
    <row r="73" s="1940" customFormat="1" x14ac:dyDescent="0.25"/>
    <row r="74" s="1940" customFormat="1" x14ac:dyDescent="0.25"/>
    <row r="75" s="1940" customFormat="1" x14ac:dyDescent="0.25"/>
    <row r="76" s="1940" customFormat="1" x14ac:dyDescent="0.25"/>
    <row r="77" s="1940" customFormat="1" x14ac:dyDescent="0.25"/>
    <row r="78" s="1940" customFormat="1" x14ac:dyDescent="0.25"/>
    <row r="79" s="1940" customFormat="1" x14ac:dyDescent="0.25"/>
    <row r="80" s="1940" customFormat="1" x14ac:dyDescent="0.25"/>
    <row r="81" s="1940" customFormat="1" x14ac:dyDescent="0.25"/>
    <row r="82" s="1940" customFormat="1" x14ac:dyDescent="0.25"/>
    <row r="83" s="1940" customFormat="1" x14ac:dyDescent="0.25"/>
    <row r="84" s="1940" customFormat="1" x14ac:dyDescent="0.25"/>
    <row r="85" s="1940" customFormat="1" x14ac:dyDescent="0.25"/>
    <row r="86" s="1940" customFormat="1" x14ac:dyDescent="0.25"/>
    <row r="87" s="1940" customFormat="1" x14ac:dyDescent="0.25"/>
    <row r="88" s="1940" customFormat="1" x14ac:dyDescent="0.25"/>
    <row r="89" s="1940" customFormat="1" x14ac:dyDescent="0.25"/>
    <row r="90" s="1940" customFormat="1" x14ac:dyDescent="0.25"/>
    <row r="91" s="1940" customFormat="1" x14ac:dyDescent="0.25"/>
    <row r="92" s="1940" customFormat="1" x14ac:dyDescent="0.25"/>
    <row r="93" s="1940" customFormat="1" x14ac:dyDescent="0.25"/>
    <row r="94" s="1940" customFormat="1" x14ac:dyDescent="0.25"/>
    <row r="95" s="1940" customFormat="1" x14ac:dyDescent="0.25"/>
    <row r="96" s="1940" customFormat="1" x14ac:dyDescent="0.25"/>
    <row r="97" s="1940" customFormat="1" x14ac:dyDescent="0.25"/>
    <row r="98" s="1940" customFormat="1" x14ac:dyDescent="0.25"/>
    <row r="99" s="1940" customFormat="1" x14ac:dyDescent="0.25"/>
    <row r="100" s="1940" customFormat="1" x14ac:dyDescent="0.25"/>
    <row r="101" s="1940" customFormat="1" x14ac:dyDescent="0.25"/>
    <row r="102" s="1940" customFormat="1" x14ac:dyDescent="0.25"/>
    <row r="103" s="1940" customFormat="1" x14ac:dyDescent="0.25"/>
    <row r="104" s="1940" customFormat="1" x14ac:dyDescent="0.25"/>
    <row r="105" s="1940" customFormat="1" x14ac:dyDescent="0.25"/>
    <row r="106" s="1940" customFormat="1" x14ac:dyDescent="0.25"/>
    <row r="107" s="1940" customFormat="1" x14ac:dyDescent="0.25"/>
    <row r="108" s="1940" customFormat="1" x14ac:dyDescent="0.25"/>
    <row r="109" s="1940" customFormat="1" x14ac:dyDescent="0.25"/>
    <row r="110" s="1940" customFormat="1" x14ac:dyDescent="0.25"/>
    <row r="111" s="1940" customFormat="1" x14ac:dyDescent="0.25"/>
    <row r="112" s="1940" customFormat="1" x14ac:dyDescent="0.25"/>
    <row r="113" s="1940" customFormat="1" x14ac:dyDescent="0.25"/>
    <row r="114" s="1940" customFormat="1" x14ac:dyDescent="0.25"/>
    <row r="115" s="1940" customFormat="1" x14ac:dyDescent="0.25"/>
    <row r="116" s="1940" customFormat="1" x14ac:dyDescent="0.25"/>
    <row r="117" s="1940" customFormat="1" x14ac:dyDescent="0.25"/>
    <row r="118" s="1940" customFormat="1" x14ac:dyDescent="0.25"/>
    <row r="119" s="1940" customFormat="1" x14ac:dyDescent="0.25"/>
    <row r="120" s="1940" customFormat="1" x14ac:dyDescent="0.25"/>
    <row r="121" s="1940" customFormat="1" x14ac:dyDescent="0.25"/>
    <row r="122" s="1940" customFormat="1" x14ac:dyDescent="0.25"/>
    <row r="123" s="1940" customFormat="1" x14ac:dyDescent="0.25"/>
    <row r="124" s="1940" customFormat="1" x14ac:dyDescent="0.25"/>
    <row r="125" s="1940" customFormat="1" x14ac:dyDescent="0.25"/>
    <row r="126" s="1940" customFormat="1" x14ac:dyDescent="0.25"/>
    <row r="127" s="1940" customFormat="1" x14ac:dyDescent="0.25"/>
    <row r="128" s="1940" customFormat="1" x14ac:dyDescent="0.25"/>
    <row r="129" s="1940" customFormat="1" x14ac:dyDescent="0.25"/>
    <row r="130" s="1940" customFormat="1" x14ac:dyDescent="0.25"/>
    <row r="131" s="1940" customFormat="1" x14ac:dyDescent="0.25"/>
    <row r="132" s="1940" customFormat="1" x14ac:dyDescent="0.25"/>
    <row r="133" s="1940" customFormat="1" x14ac:dyDescent="0.25"/>
    <row r="134" s="1940" customFormat="1" x14ac:dyDescent="0.25"/>
    <row r="135" s="1940" customFormat="1" x14ac:dyDescent="0.25"/>
    <row r="136" s="1940" customFormat="1" x14ac:dyDescent="0.25"/>
    <row r="137" s="1940" customFormat="1" x14ac:dyDescent="0.25"/>
    <row r="138" s="1940" customFormat="1" x14ac:dyDescent="0.25"/>
    <row r="139" s="1940" customFormat="1" x14ac:dyDescent="0.25"/>
    <row r="140" s="1940" customFormat="1" x14ac:dyDescent="0.25"/>
    <row r="141" s="1940" customFormat="1" x14ac:dyDescent="0.25"/>
    <row r="142" s="1940" customFormat="1" x14ac:dyDescent="0.25"/>
    <row r="143" s="1940" customFormat="1" x14ac:dyDescent="0.25"/>
    <row r="144" s="1940" customFormat="1" x14ac:dyDescent="0.25"/>
    <row r="145" s="1940" customFormat="1" x14ac:dyDescent="0.25"/>
    <row r="146" s="1940" customFormat="1" x14ac:dyDescent="0.25"/>
    <row r="147" s="1940" customFormat="1" x14ac:dyDescent="0.25"/>
    <row r="148" s="1940" customFormat="1" x14ac:dyDescent="0.25"/>
    <row r="149" s="1940" customFormat="1" x14ac:dyDescent="0.25"/>
    <row r="150" s="1940" customFormat="1" x14ac:dyDescent="0.25"/>
    <row r="151" s="1940" customFormat="1" x14ac:dyDescent="0.25"/>
    <row r="152" s="1940" customFormat="1" x14ac:dyDescent="0.25"/>
    <row r="153" s="1940" customFormat="1" x14ac:dyDescent="0.25"/>
    <row r="154" s="1940" customFormat="1" x14ac:dyDescent="0.25"/>
    <row r="155" s="1940" customFormat="1" x14ac:dyDescent="0.25"/>
    <row r="156" s="1940" customFormat="1" x14ac:dyDescent="0.25"/>
    <row r="157" s="1940" customFormat="1" x14ac:dyDescent="0.25"/>
    <row r="158" s="1940" customFormat="1" x14ac:dyDescent="0.25"/>
    <row r="159" s="1940" customFormat="1" x14ac:dyDescent="0.25"/>
    <row r="160" s="1940" customFormat="1" x14ac:dyDescent="0.25"/>
    <row r="161" s="1940" customFormat="1" x14ac:dyDescent="0.25"/>
    <row r="162" s="1940" customFormat="1" x14ac:dyDescent="0.25"/>
    <row r="163" s="1940" customFormat="1" x14ac:dyDescent="0.25"/>
    <row r="164" s="1940" customFormat="1" x14ac:dyDescent="0.25"/>
    <row r="165" s="1940" customFormat="1" x14ac:dyDescent="0.25"/>
    <row r="166" s="1940" customFormat="1" x14ac:dyDescent="0.25"/>
    <row r="167" s="1940" customFormat="1" x14ac:dyDescent="0.25"/>
    <row r="168" s="1940" customFormat="1" x14ac:dyDescent="0.25"/>
    <row r="169" s="1940" customFormat="1" x14ac:dyDescent="0.25"/>
    <row r="170" s="1940" customFormat="1" x14ac:dyDescent="0.25"/>
    <row r="171" s="1940" customFormat="1" x14ac:dyDescent="0.25"/>
    <row r="172" s="1940" customFormat="1" x14ac:dyDescent="0.25"/>
    <row r="173" s="1940" customFormat="1" x14ac:dyDescent="0.25"/>
    <row r="174" s="1940" customFormat="1" x14ac:dyDescent="0.25"/>
    <row r="175" s="1940" customFormat="1" x14ac:dyDescent="0.25"/>
    <row r="176" s="1940" customFormat="1" x14ac:dyDescent="0.25"/>
    <row r="177" s="1940" customFormat="1" x14ac:dyDescent="0.25"/>
    <row r="178" s="1940" customFormat="1" x14ac:dyDescent="0.25"/>
    <row r="179" s="1940" customFormat="1" x14ac:dyDescent="0.25"/>
    <row r="180" s="1940" customFormat="1" x14ac:dyDescent="0.25"/>
    <row r="181" s="1940" customFormat="1" x14ac:dyDescent="0.25"/>
    <row r="182" s="1940" customFormat="1" x14ac:dyDescent="0.25"/>
    <row r="183" s="1940" customFormat="1" x14ac:dyDescent="0.25"/>
    <row r="184" s="1940" customFormat="1" x14ac:dyDescent="0.25"/>
    <row r="185" s="1940" customFormat="1" x14ac:dyDescent="0.25"/>
    <row r="186" s="1940" customFormat="1" x14ac:dyDescent="0.25"/>
    <row r="187" s="1940" customFormat="1" x14ac:dyDescent="0.25"/>
    <row r="188" s="1940" customFormat="1" x14ac:dyDescent="0.25"/>
    <row r="189" s="1940" customFormat="1" x14ac:dyDescent="0.25"/>
    <row r="190" s="1940" customFormat="1" x14ac:dyDescent="0.25"/>
    <row r="191" s="1940" customFormat="1" x14ac:dyDescent="0.25"/>
    <row r="192" s="1940" customFormat="1" x14ac:dyDescent="0.25"/>
    <row r="193" s="1940" customFormat="1" x14ac:dyDescent="0.25"/>
    <row r="194" s="1940" customFormat="1" x14ac:dyDescent="0.25"/>
    <row r="195" s="1940" customFormat="1" x14ac:dyDescent="0.25"/>
    <row r="196" s="1940" customFormat="1" x14ac:dyDescent="0.25"/>
    <row r="197" s="1940" customFormat="1" x14ac:dyDescent="0.25"/>
    <row r="198" s="1940" customFormat="1" x14ac:dyDescent="0.25"/>
    <row r="199" s="1940" customFormat="1" x14ac:dyDescent="0.25"/>
    <row r="200" s="1940" customFormat="1" x14ac:dyDescent="0.25"/>
    <row r="201" s="1940" customFormat="1" x14ac:dyDescent="0.25"/>
    <row r="202" s="1940" customFormat="1" x14ac:dyDescent="0.25"/>
    <row r="203" s="1940" customFormat="1" x14ac:dyDescent="0.25"/>
    <row r="204" s="1940" customFormat="1" x14ac:dyDescent="0.25"/>
    <row r="205" s="1940" customFormat="1" x14ac:dyDescent="0.25"/>
    <row r="206" s="1940" customFormat="1" x14ac:dyDescent="0.25"/>
    <row r="207" s="1940" customFormat="1" x14ac:dyDescent="0.25"/>
    <row r="208" s="1940" customFormat="1" x14ac:dyDescent="0.25"/>
    <row r="209" s="1940" customFormat="1" x14ac:dyDescent="0.25"/>
    <row r="210" s="1940" customFormat="1" x14ac:dyDescent="0.25"/>
    <row r="211" s="1940" customFormat="1" x14ac:dyDescent="0.25"/>
    <row r="212" s="1940" customFormat="1" x14ac:dyDescent="0.25"/>
    <row r="213" s="1940" customFormat="1" x14ac:dyDescent="0.25"/>
    <row r="214" s="1940" customFormat="1" x14ac:dyDescent="0.25"/>
    <row r="215" s="1940" customFormat="1" x14ac:dyDescent="0.25"/>
    <row r="216" s="1940" customFormat="1" x14ac:dyDescent="0.25"/>
    <row r="217" s="1940" customFormat="1" x14ac:dyDescent="0.25"/>
    <row r="218" s="1940" customFormat="1" x14ac:dyDescent="0.25"/>
    <row r="219" s="1940" customFormat="1" x14ac:dyDescent="0.25"/>
    <row r="220" s="1940" customFormat="1" x14ac:dyDescent="0.25"/>
    <row r="221" s="1940" customFormat="1" x14ac:dyDescent="0.25"/>
    <row r="222" s="1940" customFormat="1" x14ac:dyDescent="0.25"/>
    <row r="223" s="1940" customFormat="1" x14ac:dyDescent="0.25"/>
    <row r="224" s="1940" customFormat="1" x14ac:dyDescent="0.25"/>
    <row r="225" s="1940" customFormat="1" x14ac:dyDescent="0.25"/>
    <row r="226" s="1940" customFormat="1" x14ac:dyDescent="0.25"/>
    <row r="227" s="1940" customFormat="1" x14ac:dyDescent="0.25"/>
    <row r="228" s="1940" customFormat="1" x14ac:dyDescent="0.25"/>
    <row r="229" s="1940" customFormat="1" x14ac:dyDescent="0.25"/>
    <row r="230" s="1940" customFormat="1" x14ac:dyDescent="0.25"/>
    <row r="231" s="1940" customFormat="1" x14ac:dyDescent="0.25"/>
    <row r="232" s="1940" customFormat="1" x14ac:dyDescent="0.25"/>
    <row r="233" s="1940" customFormat="1" x14ac:dyDescent="0.25"/>
    <row r="234" s="1940" customFormat="1" x14ac:dyDescent="0.25"/>
    <row r="235" s="1940" customFormat="1" x14ac:dyDescent="0.25"/>
    <row r="236" s="1940" customFormat="1" x14ac:dyDescent="0.25"/>
    <row r="237" s="1940" customFormat="1" x14ac:dyDescent="0.25"/>
    <row r="238" s="1940" customFormat="1" x14ac:dyDescent="0.25"/>
    <row r="239" s="1940" customFormat="1" x14ac:dyDescent="0.25"/>
    <row r="240" s="1940" customFormat="1" x14ac:dyDescent="0.25"/>
    <row r="241" s="1940" customFormat="1" x14ac:dyDescent="0.25"/>
    <row r="242" s="1940" customFormat="1" x14ac:dyDescent="0.25"/>
    <row r="243" s="1940" customFormat="1" x14ac:dyDescent="0.25"/>
    <row r="244" s="1940" customFormat="1" x14ac:dyDescent="0.25"/>
    <row r="245" s="1940" customFormat="1" x14ac:dyDescent="0.25"/>
    <row r="246" s="1940" customFormat="1" x14ac:dyDescent="0.25"/>
    <row r="247" s="1940" customFormat="1" x14ac:dyDescent="0.25"/>
    <row r="248" s="1940" customFormat="1" x14ac:dyDescent="0.25"/>
    <row r="249" s="1940" customFormat="1" x14ac:dyDescent="0.25"/>
    <row r="250" s="1940" customFormat="1" x14ac:dyDescent="0.25"/>
    <row r="251" s="1940" customFormat="1" x14ac:dyDescent="0.25"/>
    <row r="252" s="1940" customFormat="1" x14ac:dyDescent="0.25"/>
    <row r="253" s="1940" customFormat="1" x14ac:dyDescent="0.25"/>
    <row r="254" s="1940" customFormat="1" x14ac:dyDescent="0.25"/>
    <row r="255" s="1940" customFormat="1" x14ac:dyDescent="0.25"/>
    <row r="256" s="1940" customFormat="1" x14ac:dyDescent="0.25"/>
    <row r="257" s="1940" customFormat="1" x14ac:dyDescent="0.25"/>
    <row r="258" s="1940" customFormat="1" x14ac:dyDescent="0.25"/>
    <row r="259" s="1940" customFormat="1" x14ac:dyDescent="0.25"/>
    <row r="260" s="1940" customFormat="1" x14ac:dyDescent="0.25"/>
    <row r="261" s="1940" customFormat="1" x14ac:dyDescent="0.25"/>
    <row r="262" s="1940" customFormat="1" x14ac:dyDescent="0.25"/>
    <row r="263" s="1940" customFormat="1" x14ac:dyDescent="0.25"/>
    <row r="264" s="1940" customFormat="1" x14ac:dyDescent="0.25"/>
    <row r="265" s="1940" customFormat="1" x14ac:dyDescent="0.25"/>
    <row r="266" s="1940" customFormat="1" x14ac:dyDescent="0.25"/>
    <row r="267" s="1940" customFormat="1" x14ac:dyDescent="0.25"/>
    <row r="268" s="1940" customFormat="1" x14ac:dyDescent="0.25"/>
    <row r="269" s="1940" customFormat="1" x14ac:dyDescent="0.25"/>
    <row r="270" s="1940" customFormat="1" x14ac:dyDescent="0.25"/>
    <row r="271" s="1940" customFormat="1" x14ac:dyDescent="0.25"/>
    <row r="272" s="1940" customFormat="1" x14ac:dyDescent="0.25"/>
    <row r="273" s="1940" customFormat="1" x14ac:dyDescent="0.25"/>
    <row r="274" s="1940" customFormat="1" x14ac:dyDescent="0.25"/>
    <row r="275" s="1940" customFormat="1" x14ac:dyDescent="0.25"/>
    <row r="276" s="1940" customFormat="1" x14ac:dyDescent="0.25"/>
    <row r="277" s="1940" customFormat="1" x14ac:dyDescent="0.25"/>
    <row r="278" s="1940" customFormat="1" x14ac:dyDescent="0.25"/>
    <row r="279" s="1940" customFormat="1" x14ac:dyDescent="0.25"/>
    <row r="280" s="1940" customFormat="1" x14ac:dyDescent="0.25"/>
    <row r="281" s="1940" customFormat="1" x14ac:dyDescent="0.25"/>
    <row r="282" s="1940" customFormat="1" x14ac:dyDescent="0.25"/>
    <row r="283" s="1940" customFormat="1" x14ac:dyDescent="0.25"/>
    <row r="284" s="1940" customFormat="1" x14ac:dyDescent="0.25"/>
    <row r="285" s="1940" customFormat="1" x14ac:dyDescent="0.25"/>
    <row r="286" s="1940" customFormat="1" x14ac:dyDescent="0.25"/>
    <row r="287" s="1940" customFormat="1" x14ac:dyDescent="0.25"/>
    <row r="288" s="1940" customFormat="1" x14ac:dyDescent="0.25"/>
    <row r="289" s="1940" customFormat="1" x14ac:dyDescent="0.25"/>
    <row r="290" s="1940" customFormat="1" x14ac:dyDescent="0.25"/>
    <row r="291" s="1940" customFormat="1" x14ac:dyDescent="0.25"/>
    <row r="292" s="1940" customFormat="1" x14ac:dyDescent="0.25"/>
    <row r="293" s="1940" customFormat="1" x14ac:dyDescent="0.25"/>
    <row r="294" s="1940" customFormat="1" x14ac:dyDescent="0.25"/>
    <row r="295" s="1940" customFormat="1" x14ac:dyDescent="0.25"/>
    <row r="296" s="1940" customFormat="1" x14ac:dyDescent="0.25"/>
    <row r="297" s="1940" customFormat="1" x14ac:dyDescent="0.25"/>
    <row r="298" s="1940" customFormat="1" x14ac:dyDescent="0.25"/>
    <row r="299" s="1940" customFormat="1" x14ac:dyDescent="0.25"/>
    <row r="300" s="1940" customFormat="1" x14ac:dyDescent="0.25"/>
    <row r="301" s="1940" customFormat="1" x14ac:dyDescent="0.25"/>
    <row r="302" s="1940" customFormat="1" x14ac:dyDescent="0.25"/>
    <row r="303" s="1940" customFormat="1" x14ac:dyDescent="0.25"/>
    <row r="304" s="1940" customFormat="1" x14ac:dyDescent="0.25"/>
    <row r="305" s="1940" customFormat="1" x14ac:dyDescent="0.25"/>
    <row r="306" s="1940" customFormat="1" x14ac:dyDescent="0.25"/>
    <row r="307" s="1940" customFormat="1" x14ac:dyDescent="0.25"/>
    <row r="308" s="1940" customFormat="1" x14ac:dyDescent="0.25"/>
    <row r="309" s="1940" customFormat="1" x14ac:dyDescent="0.25"/>
    <row r="310" s="1940" customFormat="1" x14ac:dyDescent="0.25"/>
    <row r="311" s="1940" customFormat="1" x14ac:dyDescent="0.25"/>
    <row r="312" s="1940" customFormat="1" x14ac:dyDescent="0.25"/>
    <row r="313" s="1940" customFormat="1" x14ac:dyDescent="0.25"/>
    <row r="314" s="1940" customFormat="1" x14ac:dyDescent="0.25"/>
    <row r="315" s="1940" customFormat="1" x14ac:dyDescent="0.25"/>
    <row r="316" s="1940" customFormat="1" x14ac:dyDescent="0.25"/>
    <row r="317" s="1940" customFormat="1" x14ac:dyDescent="0.25"/>
    <row r="318" s="1940" customFormat="1" x14ac:dyDescent="0.25"/>
    <row r="319" s="1940" customFormat="1" x14ac:dyDescent="0.25"/>
    <row r="320" s="1940" customFormat="1" x14ac:dyDescent="0.25"/>
    <row r="321" s="1940" customFormat="1" x14ac:dyDescent="0.25"/>
    <row r="322" s="1940" customFormat="1" x14ac:dyDescent="0.25"/>
    <row r="323" s="1940" customFormat="1" x14ac:dyDescent="0.25"/>
    <row r="324" s="1940" customFormat="1" x14ac:dyDescent="0.25"/>
    <row r="325" s="1940" customFormat="1" x14ac:dyDescent="0.25"/>
    <row r="326" s="1940" customFormat="1" x14ac:dyDescent="0.25"/>
    <row r="327" s="1940" customFormat="1" x14ac:dyDescent="0.25"/>
    <row r="328" s="1940" customFormat="1" x14ac:dyDescent="0.25"/>
    <row r="329" s="1940" customFormat="1" x14ac:dyDescent="0.25"/>
    <row r="330" s="1940" customFormat="1" x14ac:dyDescent="0.25"/>
    <row r="331" s="1940" customFormat="1" x14ac:dyDescent="0.25"/>
    <row r="332" s="1940" customFormat="1" x14ac:dyDescent="0.25"/>
    <row r="333" s="1940" customFormat="1" x14ac:dyDescent="0.25"/>
    <row r="334" s="1940" customFormat="1" x14ac:dyDescent="0.25"/>
    <row r="335" s="1940" customFormat="1" x14ac:dyDescent="0.25"/>
    <row r="336" s="1940" customFormat="1" x14ac:dyDescent="0.25"/>
    <row r="337" s="1940" customFormat="1" x14ac:dyDescent="0.25"/>
    <row r="338" s="1940" customFormat="1" x14ac:dyDescent="0.25"/>
    <row r="339" s="1940" customFormat="1" x14ac:dyDescent="0.25"/>
    <row r="340" s="1940" customFormat="1" x14ac:dyDescent="0.25"/>
    <row r="341" s="1940" customFormat="1" x14ac:dyDescent="0.25"/>
    <row r="342" s="1940" customFormat="1" x14ac:dyDescent="0.25"/>
    <row r="343" s="1940" customFormat="1" x14ac:dyDescent="0.25"/>
    <row r="344" s="1940" customFormat="1" x14ac:dyDescent="0.25"/>
    <row r="345" s="1940" customFormat="1" x14ac:dyDescent="0.25"/>
    <row r="346" s="1940" customFormat="1" x14ac:dyDescent="0.25"/>
    <row r="347" s="1940" customFormat="1" x14ac:dyDescent="0.25"/>
    <row r="348" s="1940" customFormat="1" x14ac:dyDescent="0.25"/>
    <row r="349" s="1940" customFormat="1" x14ac:dyDescent="0.25"/>
    <row r="350" s="1940" customFormat="1" x14ac:dyDescent="0.25"/>
    <row r="351" s="1940" customFormat="1" x14ac:dyDescent="0.25"/>
    <row r="352" s="1940" customFormat="1" x14ac:dyDescent="0.25"/>
    <row r="353" s="1940" customFormat="1" x14ac:dyDescent="0.25"/>
    <row r="354" s="1940" customFormat="1" x14ac:dyDescent="0.25"/>
    <row r="355" s="1940" customFormat="1" x14ac:dyDescent="0.25"/>
    <row r="356" s="1940" customFormat="1" x14ac:dyDescent="0.25"/>
    <row r="357" s="1940" customFormat="1" x14ac:dyDescent="0.25"/>
    <row r="358" s="1940" customFormat="1" x14ac:dyDescent="0.25"/>
    <row r="359" s="1940" customFormat="1" x14ac:dyDescent="0.25"/>
    <row r="360" s="1940" customFormat="1" x14ac:dyDescent="0.25"/>
    <row r="361" s="1940" customFormat="1" x14ac:dyDescent="0.25"/>
    <row r="362" s="1940" customFormat="1" x14ac:dyDescent="0.25"/>
    <row r="363" s="1940" customFormat="1" x14ac:dyDescent="0.25"/>
    <row r="364" s="1940" customFormat="1" x14ac:dyDescent="0.25"/>
    <row r="365" s="1940" customFormat="1" x14ac:dyDescent="0.25"/>
    <row r="366" s="1940" customFormat="1" x14ac:dyDescent="0.25"/>
    <row r="367" s="1940" customFormat="1" x14ac:dyDescent="0.25"/>
    <row r="368" s="1940" customFormat="1" x14ac:dyDescent="0.25"/>
    <row r="369" s="1940" customFormat="1" x14ac:dyDescent="0.25"/>
    <row r="370" s="1940" customFormat="1" x14ac:dyDescent="0.25"/>
    <row r="371" s="1940" customFormat="1" x14ac:dyDescent="0.25"/>
    <row r="372" s="1940" customFormat="1" x14ac:dyDescent="0.25"/>
    <row r="373" s="1940" customFormat="1" x14ac:dyDescent="0.25"/>
    <row r="374" s="1940" customFormat="1" x14ac:dyDescent="0.25"/>
    <row r="375" s="1940" customFormat="1" x14ac:dyDescent="0.25"/>
    <row r="376" s="1940" customFormat="1" x14ac:dyDescent="0.25"/>
    <row r="377" s="1940" customFormat="1" x14ac:dyDescent="0.25"/>
    <row r="378" s="1940" customFormat="1" x14ac:dyDescent="0.25"/>
    <row r="379" s="1940" customFormat="1" x14ac:dyDescent="0.25"/>
    <row r="380" s="1940" customFormat="1" x14ac:dyDescent="0.25"/>
    <row r="381" s="1940" customFormat="1" x14ac:dyDescent="0.25"/>
    <row r="382" s="1940" customFormat="1" x14ac:dyDescent="0.25"/>
    <row r="383" s="1940" customFormat="1" x14ac:dyDescent="0.25"/>
    <row r="384" s="1940" customFormat="1" x14ac:dyDescent="0.25"/>
    <row r="385" s="1940" customFormat="1" x14ac:dyDescent="0.25"/>
    <row r="386" s="1940" customFormat="1" x14ac:dyDescent="0.25"/>
    <row r="387" s="1940" customFormat="1" x14ac:dyDescent="0.25"/>
    <row r="388" s="1940" customFormat="1" x14ac:dyDescent="0.25"/>
    <row r="389" s="1940" customFormat="1" x14ac:dyDescent="0.25"/>
    <row r="390" s="1940" customFormat="1" x14ac:dyDescent="0.25"/>
    <row r="391" s="1940" customFormat="1" x14ac:dyDescent="0.25"/>
    <row r="392" s="1940" customFormat="1" x14ac:dyDescent="0.25"/>
    <row r="393" s="1940" customFormat="1" x14ac:dyDescent="0.25"/>
  </sheetData>
  <sheetProtection password="E593" sheet="1" objects="1" scenarios="1"/>
  <customSheetViews>
    <customSheetView guid="{B63065A1-7838-417A-8679-08A8A2B79CD8}" showPageBreaks="1" showGridLines="0" fitToPage="1" printArea="1">
      <selection activeCell="G9" sqref="G9"/>
      <pageMargins left="0.7" right="0.7" top="0.75" bottom="0.75" header="0.3" footer="0.3"/>
      <pageSetup scale="83" orientation="portrait" blackAndWhite="1" r:id="rId1"/>
    </customSheetView>
  </customSheetViews>
  <mergeCells count="9">
    <mergeCell ref="B36:J37"/>
    <mergeCell ref="C38:I54"/>
    <mergeCell ref="C14:I24"/>
    <mergeCell ref="C7:I7"/>
    <mergeCell ref="C3:I3"/>
    <mergeCell ref="C5:I5"/>
    <mergeCell ref="L10:N17"/>
    <mergeCell ref="L18:N33"/>
    <mergeCell ref="C9:F9"/>
  </mergeCells>
  <dataValidations count="1">
    <dataValidation type="list" allowBlank="1" showInputMessage="1" showErrorMessage="1" sqref="G9">
      <formula1>"Yes, No"</formula1>
    </dataValidation>
  </dataValidations>
  <pageMargins left="0.7" right="0.7" top="0.75" bottom="0.75" header="0.3" footer="0.3"/>
  <pageSetup scale="83"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21505" r:id="rId5" name="Button 1">
              <controlPr defaultSize="0" print="0" autoFill="0" autoPict="0" macro="[0]!BackMain">
                <anchor moveWithCells="1" sizeWithCells="1">
                  <from>
                    <xdr:col>1</xdr:col>
                    <xdr:colOff>22860</xdr:colOff>
                    <xdr:row>2</xdr:row>
                    <xdr:rowOff>144780</xdr:rowOff>
                  </from>
                  <to>
                    <xdr:col>2</xdr:col>
                    <xdr:colOff>22860</xdr:colOff>
                    <xdr:row>5</xdr:row>
                    <xdr:rowOff>30480</xdr:rowOff>
                  </to>
                </anchor>
              </controlPr>
            </control>
          </mc:Choice>
        </mc:AlternateContent>
        <mc:AlternateContent xmlns:mc="http://schemas.openxmlformats.org/markup-compatibility/2006">
          <mc:Choice Requires="x14">
            <control shapeId="21507" r:id="rId6" name="Button 3">
              <controlPr defaultSize="0" print="0" autoFill="0" autoPict="0" macro="[0]!PrintAttach16">
                <anchor moveWithCells="1" sizeWithCells="1">
                  <from>
                    <xdr:col>7</xdr:col>
                    <xdr:colOff>556260</xdr:colOff>
                    <xdr:row>3</xdr:row>
                    <xdr:rowOff>30480</xdr:rowOff>
                  </from>
                  <to>
                    <xdr:col>10</xdr:col>
                    <xdr:colOff>22860</xdr:colOff>
                    <xdr:row>5</xdr:row>
                    <xdr:rowOff>60960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Y320"/>
  <sheetViews>
    <sheetView showGridLines="0" zoomScaleNormal="100" zoomScaleSheetLayoutView="50" workbookViewId="0">
      <selection activeCell="G58" sqref="G58"/>
    </sheetView>
  </sheetViews>
  <sheetFormatPr defaultRowHeight="13.2" x14ac:dyDescent="0.25"/>
  <cols>
    <col min="1" max="1" width="6.44140625" style="45" customWidth="1"/>
    <col min="2" max="2" width="11.88671875" style="45" customWidth="1"/>
    <col min="3" max="3" width="10.6640625" style="45" customWidth="1"/>
    <col min="4" max="4" width="16.33203125" style="45" customWidth="1"/>
    <col min="5" max="9" width="9.109375" style="45" customWidth="1"/>
    <col min="10" max="10" width="10.33203125" style="45" bestFit="1" customWidth="1"/>
    <col min="11" max="11" width="11.88671875" style="45" customWidth="1"/>
    <col min="12" max="13" width="9.109375" style="45" customWidth="1"/>
    <col min="14" max="14" width="7.6640625" style="45" customWidth="1"/>
    <col min="15" max="15" width="8.88671875" style="45"/>
    <col min="16" max="18" width="8.88671875" style="1126"/>
    <col min="19" max="22" width="8.88671875" style="45"/>
    <col min="23" max="23" width="10.5546875" style="45" customWidth="1"/>
    <col min="24" max="24" width="13.5546875" style="45" customWidth="1"/>
    <col min="25" max="16384" width="8.88671875" style="45"/>
  </cols>
  <sheetData>
    <row r="1" spans="1:18" s="85" customFormat="1" x14ac:dyDescent="0.25">
      <c r="A1" s="81"/>
      <c r="B1" s="81"/>
      <c r="C1" s="82"/>
      <c r="D1" s="82"/>
      <c r="E1" s="82"/>
      <c r="F1" s="82"/>
      <c r="G1" s="82"/>
      <c r="H1" s="82"/>
      <c r="I1" s="82"/>
      <c r="J1" s="82"/>
      <c r="K1" s="83"/>
      <c r="L1" s="84"/>
      <c r="M1" s="84"/>
      <c r="N1" s="84"/>
      <c r="O1" s="84"/>
      <c r="P1" s="1125"/>
      <c r="Q1" s="1125"/>
      <c r="R1" s="1125"/>
    </row>
    <row r="2" spans="1:18" s="85" customFormat="1" x14ac:dyDescent="0.25">
      <c r="A2" s="86"/>
      <c r="B2" s="86"/>
      <c r="C2" s="2676" t="str">
        <f>Utility</f>
        <v>Cleveland Water Utility</v>
      </c>
      <c r="D2" s="2677"/>
      <c r="E2" s="2677"/>
      <c r="F2" s="2677"/>
      <c r="G2" s="2677"/>
      <c r="H2" s="2677"/>
      <c r="I2" s="2677"/>
      <c r="J2" s="2677"/>
      <c r="K2" s="84"/>
      <c r="L2" s="84"/>
      <c r="M2" s="84"/>
      <c r="N2" s="84"/>
      <c r="O2" s="84"/>
      <c r="P2" s="1125"/>
      <c r="Q2" s="1125"/>
      <c r="R2" s="1125"/>
    </row>
    <row r="3" spans="1:18" s="85" customFormat="1" x14ac:dyDescent="0.25">
      <c r="A3" s="87"/>
      <c r="B3" s="87"/>
      <c r="C3" s="88"/>
      <c r="D3" s="89"/>
      <c r="E3" s="89"/>
      <c r="F3" s="89"/>
      <c r="G3" s="89"/>
      <c r="H3" s="89"/>
      <c r="I3" s="89"/>
      <c r="J3" s="89"/>
      <c r="K3" s="84"/>
      <c r="L3" s="84"/>
      <c r="M3" s="84"/>
      <c r="N3" s="84"/>
      <c r="O3" s="84"/>
      <c r="P3" s="1125"/>
      <c r="Q3" s="1125"/>
      <c r="R3" s="1125"/>
    </row>
    <row r="4" spans="1:18" s="85" customFormat="1" x14ac:dyDescent="0.25">
      <c r="A4" s="90"/>
      <c r="B4" s="90"/>
      <c r="C4" s="2678" t="s">
        <v>662</v>
      </c>
      <c r="D4" s="2679"/>
      <c r="E4" s="2679"/>
      <c r="F4" s="2679"/>
      <c r="G4" s="2679"/>
      <c r="H4" s="2679"/>
      <c r="I4" s="2679"/>
      <c r="J4" s="2679"/>
      <c r="K4" s="87"/>
      <c r="L4" s="84"/>
      <c r="M4" s="84"/>
      <c r="N4" s="84"/>
      <c r="O4" s="84"/>
      <c r="P4" s="1125"/>
      <c r="Q4" s="1125"/>
      <c r="R4" s="1125"/>
    </row>
    <row r="5" spans="1:18" s="85" customFormat="1" x14ac:dyDescent="0.25">
      <c r="A5" s="91"/>
      <c r="B5" s="91"/>
      <c r="C5" s="2680" t="str">
        <f>CONCATENATE("Test Year ",TestYear)</f>
        <v>Test Year 2023</v>
      </c>
      <c r="D5" s="2681"/>
      <c r="E5" s="2681"/>
      <c r="F5" s="2681"/>
      <c r="G5" s="2681"/>
      <c r="H5" s="2681"/>
      <c r="I5" s="2681"/>
      <c r="J5" s="2681"/>
      <c r="K5" s="87"/>
      <c r="L5" s="84"/>
      <c r="M5" s="84"/>
      <c r="N5" s="84"/>
      <c r="O5" s="84"/>
      <c r="P5" s="1125"/>
      <c r="Q5" s="1125"/>
      <c r="R5" s="1125"/>
    </row>
    <row r="6" spans="1:18" ht="13.8" thickBot="1" x14ac:dyDescent="0.3">
      <c r="A6" s="96"/>
      <c r="B6" s="81" t="str">
        <f>TestYear &amp; " Test Year"</f>
        <v>2023 Test Year</v>
      </c>
      <c r="C6" s="96"/>
      <c r="D6" s="96"/>
      <c r="E6" s="96"/>
      <c r="F6" s="96"/>
      <c r="G6" s="96"/>
      <c r="H6" s="96"/>
      <c r="I6" s="96"/>
      <c r="J6" s="96"/>
      <c r="K6" s="96"/>
      <c r="L6" s="83" t="s">
        <v>661</v>
      </c>
      <c r="M6" s="92"/>
      <c r="N6" s="92"/>
      <c r="O6" s="92"/>
    </row>
    <row r="7" spans="1:18" ht="13.8" thickTop="1" x14ac:dyDescent="0.25">
      <c r="A7" s="100"/>
      <c r="B7" s="124" t="s">
        <v>251</v>
      </c>
      <c r="C7" s="2682" t="s">
        <v>819</v>
      </c>
      <c r="D7" s="2683"/>
      <c r="E7" s="2683"/>
      <c r="F7" s="2683"/>
      <c r="G7" s="2683"/>
      <c r="H7" s="2683"/>
      <c r="I7" s="2683"/>
      <c r="J7" s="2683"/>
      <c r="K7" s="2683"/>
      <c r="L7" s="126"/>
      <c r="M7" s="92"/>
      <c r="N7" s="92"/>
      <c r="O7" s="92"/>
    </row>
    <row r="8" spans="1:18" x14ac:dyDescent="0.25">
      <c r="A8" s="96"/>
      <c r="B8" s="129"/>
      <c r="C8" s="2684"/>
      <c r="D8" s="2684"/>
      <c r="E8" s="2684"/>
      <c r="F8" s="2684"/>
      <c r="G8" s="2684"/>
      <c r="H8" s="2684"/>
      <c r="I8" s="2684"/>
      <c r="J8" s="2684"/>
      <c r="K8" s="2684"/>
      <c r="L8" s="128"/>
      <c r="M8" s="92"/>
      <c r="N8" s="92"/>
      <c r="O8" s="92"/>
    </row>
    <row r="9" spans="1:18" x14ac:dyDescent="0.25">
      <c r="A9" s="96"/>
      <c r="B9" s="129"/>
      <c r="C9" s="2684"/>
      <c r="D9" s="2684"/>
      <c r="E9" s="2684"/>
      <c r="F9" s="2684"/>
      <c r="G9" s="2684"/>
      <c r="H9" s="2684"/>
      <c r="I9" s="2684"/>
      <c r="J9" s="2684"/>
      <c r="K9" s="2684"/>
      <c r="L9" s="128"/>
      <c r="M9" s="92"/>
      <c r="N9" s="92"/>
      <c r="O9" s="92"/>
    </row>
    <row r="10" spans="1:18" ht="15" customHeight="1" x14ac:dyDescent="0.25">
      <c r="A10" s="96"/>
      <c r="B10" s="129"/>
      <c r="C10" s="102"/>
      <c r="D10" s="103"/>
      <c r="E10" s="104"/>
      <c r="F10" s="2675" t="s">
        <v>663</v>
      </c>
      <c r="G10" s="2675"/>
      <c r="H10" s="2675" t="s">
        <v>664</v>
      </c>
      <c r="I10" s="2675"/>
      <c r="J10" s="101"/>
      <c r="K10" s="2690" t="s">
        <v>1060</v>
      </c>
      <c r="L10" s="2691"/>
      <c r="M10" s="92"/>
      <c r="N10" s="92"/>
      <c r="O10" s="92"/>
    </row>
    <row r="11" spans="1:18" ht="12.75" customHeight="1" x14ac:dyDescent="0.25">
      <c r="A11" s="96"/>
      <c r="B11" s="129"/>
      <c r="C11" s="101"/>
      <c r="D11" s="101"/>
      <c r="E11" s="101"/>
      <c r="F11" s="904" t="s">
        <v>173</v>
      </c>
      <c r="G11" s="904" t="s">
        <v>173</v>
      </c>
      <c r="H11" s="904" t="s">
        <v>173</v>
      </c>
      <c r="I11" s="904" t="s">
        <v>173</v>
      </c>
      <c r="J11" s="904" t="s">
        <v>665</v>
      </c>
      <c r="K11" s="2690"/>
      <c r="L11" s="2691"/>
      <c r="M11" s="95"/>
      <c r="N11" s="92"/>
      <c r="O11" s="92"/>
    </row>
    <row r="12" spans="1:18" x14ac:dyDescent="0.25">
      <c r="A12" s="96"/>
      <c r="B12" s="129"/>
      <c r="C12" s="101"/>
      <c r="D12" s="101"/>
      <c r="E12" s="106" t="s">
        <v>6</v>
      </c>
      <c r="F12" s="904" t="s">
        <v>666</v>
      </c>
      <c r="G12" s="904" t="s">
        <v>667</v>
      </c>
      <c r="H12" s="904" t="s">
        <v>666</v>
      </c>
      <c r="I12" s="904" t="s">
        <v>667</v>
      </c>
      <c r="J12" s="904" t="s">
        <v>173</v>
      </c>
      <c r="K12" s="2690"/>
      <c r="L12" s="2691"/>
      <c r="M12" s="92"/>
      <c r="N12" s="92"/>
      <c r="O12" s="92"/>
    </row>
    <row r="13" spans="1:18" x14ac:dyDescent="0.25">
      <c r="A13" s="96"/>
      <c r="B13" s="129"/>
      <c r="C13" s="102" t="s">
        <v>670</v>
      </c>
      <c r="D13" s="101"/>
      <c r="E13" s="107">
        <f>TestYear-1</f>
        <v>2022</v>
      </c>
      <c r="F13" s="111">
        <v>3520</v>
      </c>
      <c r="G13" s="112">
        <v>3284</v>
      </c>
      <c r="H13" s="111"/>
      <c r="I13" s="112"/>
      <c r="J13" s="140">
        <f>F13-G13+H13-I13</f>
        <v>236</v>
      </c>
      <c r="K13" s="2673" t="s">
        <v>1538</v>
      </c>
      <c r="L13" s="2674"/>
      <c r="M13" s="92"/>
      <c r="N13" s="92"/>
      <c r="O13" s="92"/>
    </row>
    <row r="14" spans="1:18" x14ac:dyDescent="0.25">
      <c r="A14" s="96"/>
      <c r="B14" s="129"/>
      <c r="C14" s="102" t="s">
        <v>671</v>
      </c>
      <c r="D14" s="101"/>
      <c r="E14" s="107">
        <f>TestYear</f>
        <v>2023</v>
      </c>
      <c r="F14" s="111">
        <v>4800</v>
      </c>
      <c r="G14" s="112">
        <v>7300</v>
      </c>
      <c r="H14" s="111">
        <v>2500</v>
      </c>
      <c r="I14" s="112"/>
      <c r="J14" s="140">
        <f>F14-G14+H14-I14</f>
        <v>0</v>
      </c>
      <c r="K14" s="2673" t="s">
        <v>1539</v>
      </c>
      <c r="L14" s="2674"/>
      <c r="M14" s="92"/>
      <c r="N14" s="92"/>
      <c r="O14" s="92"/>
    </row>
    <row r="15" spans="1:18" x14ac:dyDescent="0.25">
      <c r="A15" s="96"/>
      <c r="B15" s="129"/>
      <c r="C15" s="102" t="s">
        <v>672</v>
      </c>
      <c r="D15" s="101"/>
      <c r="E15" s="107">
        <f>TestYear</f>
        <v>2023</v>
      </c>
      <c r="F15" s="111"/>
      <c r="G15" s="112"/>
      <c r="H15" s="111"/>
      <c r="I15" s="112"/>
      <c r="J15" s="140">
        <f>F15-G15+H15-I15</f>
        <v>0</v>
      </c>
      <c r="K15" s="2673"/>
      <c r="L15" s="2674"/>
      <c r="M15" s="92"/>
      <c r="N15" s="92"/>
      <c r="O15" s="92"/>
    </row>
    <row r="16" spans="1:18" x14ac:dyDescent="0.25">
      <c r="A16" s="96"/>
      <c r="B16" s="129"/>
      <c r="C16" s="102"/>
      <c r="D16" s="101"/>
      <c r="E16" s="107"/>
      <c r="F16" s="108"/>
      <c r="G16" s="101"/>
      <c r="H16" s="108"/>
      <c r="I16" s="101"/>
      <c r="J16" s="109"/>
      <c r="K16" s="101"/>
      <c r="L16" s="128"/>
      <c r="M16" s="92"/>
      <c r="N16" s="92"/>
      <c r="O16" s="92"/>
    </row>
    <row r="17" spans="1:15" x14ac:dyDescent="0.25">
      <c r="A17" s="96"/>
      <c r="B17" s="129"/>
      <c r="C17" s="102" t="s">
        <v>255</v>
      </c>
      <c r="D17" s="101"/>
      <c r="E17" s="107">
        <f>TestYear-1</f>
        <v>2022</v>
      </c>
      <c r="F17" s="111">
        <v>9</v>
      </c>
      <c r="G17" s="112">
        <v>8</v>
      </c>
      <c r="H17" s="111"/>
      <c r="I17" s="1619"/>
      <c r="J17" s="140">
        <f>F17-G17+H17-I17</f>
        <v>1</v>
      </c>
      <c r="K17" s="101"/>
      <c r="L17" s="128"/>
      <c r="M17" s="92"/>
      <c r="N17" s="92"/>
      <c r="O17" s="92"/>
    </row>
    <row r="18" spans="1:15" x14ac:dyDescent="0.25">
      <c r="A18" s="96"/>
      <c r="B18" s="129"/>
      <c r="C18" s="102" t="s">
        <v>673</v>
      </c>
      <c r="D18" s="101"/>
      <c r="E18" s="107">
        <f>TestYear</f>
        <v>2023</v>
      </c>
      <c r="F18" s="111">
        <v>16</v>
      </c>
      <c r="G18" s="112">
        <v>16</v>
      </c>
      <c r="H18" s="111"/>
      <c r="I18" s="1619"/>
      <c r="J18" s="140">
        <f>F18-G18+H18-I18</f>
        <v>0</v>
      </c>
      <c r="K18" s="101"/>
      <c r="L18" s="128"/>
      <c r="M18" s="92"/>
      <c r="N18" s="92"/>
      <c r="O18" s="92"/>
    </row>
    <row r="19" spans="1:15" x14ac:dyDescent="0.25">
      <c r="A19" s="96"/>
      <c r="B19" s="129"/>
      <c r="C19" s="102" t="s">
        <v>674</v>
      </c>
      <c r="D19" s="101"/>
      <c r="E19" s="107">
        <f>TestYear</f>
        <v>2023</v>
      </c>
      <c r="F19" s="111"/>
      <c r="G19" s="112"/>
      <c r="H19" s="111"/>
      <c r="I19" s="1619"/>
      <c r="J19" s="140">
        <f>F19-G19+H19-I19</f>
        <v>0</v>
      </c>
      <c r="K19" s="101"/>
      <c r="L19" s="128"/>
      <c r="M19" s="96"/>
      <c r="N19" s="92"/>
      <c r="O19" s="92"/>
    </row>
    <row r="20" spans="1:15" ht="13.8" thickBot="1" x14ac:dyDescent="0.3">
      <c r="A20" s="96"/>
      <c r="B20" s="137"/>
      <c r="C20" s="170"/>
      <c r="D20" s="138"/>
      <c r="E20" s="171"/>
      <c r="F20" s="172"/>
      <c r="G20" s="138"/>
      <c r="H20" s="173"/>
      <c r="I20" s="138"/>
      <c r="J20" s="138"/>
      <c r="K20" s="138"/>
      <c r="L20" s="139"/>
      <c r="M20" s="92"/>
      <c r="N20" s="92"/>
      <c r="O20" s="92"/>
    </row>
    <row r="21" spans="1:15" ht="14.4" thickTop="1" thickBot="1" x14ac:dyDescent="0.3">
      <c r="A21" s="100"/>
      <c r="B21" s="93"/>
      <c r="C21" s="92"/>
      <c r="D21" s="92"/>
      <c r="E21" s="92"/>
      <c r="F21" s="92"/>
      <c r="G21" s="92"/>
      <c r="H21" s="92"/>
      <c r="I21" s="92"/>
      <c r="J21" s="92"/>
      <c r="K21" s="92"/>
      <c r="L21" s="92"/>
      <c r="M21" s="92"/>
      <c r="N21" s="92"/>
      <c r="O21" s="92"/>
    </row>
    <row r="22" spans="1:15" ht="13.8" thickTop="1" x14ac:dyDescent="0.25">
      <c r="A22" s="100"/>
      <c r="B22" s="1529" t="s">
        <v>821</v>
      </c>
      <c r="C22" s="125"/>
      <c r="D22" s="125"/>
      <c r="E22" s="125"/>
      <c r="F22" s="125"/>
      <c r="G22" s="125"/>
      <c r="H22" s="125"/>
      <c r="I22" s="125"/>
      <c r="J22" s="125"/>
      <c r="K22" s="125"/>
      <c r="L22" s="126"/>
      <c r="M22" s="92"/>
      <c r="N22" s="92"/>
      <c r="O22" s="92"/>
    </row>
    <row r="23" spans="1:15" ht="18" customHeight="1" x14ac:dyDescent="0.25">
      <c r="A23" s="100"/>
      <c r="B23" s="129"/>
      <c r="C23" s="121" t="s">
        <v>675</v>
      </c>
      <c r="D23" s="101"/>
      <c r="E23" s="101"/>
      <c r="F23" s="101"/>
      <c r="G23" s="101"/>
      <c r="H23" s="101"/>
      <c r="I23" s="101"/>
      <c r="J23" s="101"/>
      <c r="K23" s="101"/>
      <c r="L23" s="128"/>
      <c r="M23" s="92"/>
      <c r="N23" s="92"/>
      <c r="O23" s="92"/>
    </row>
    <row r="24" spans="1:15" ht="15" customHeight="1" x14ac:dyDescent="0.25">
      <c r="A24" s="96"/>
      <c r="B24" s="129"/>
      <c r="C24" s="2692" t="s">
        <v>963</v>
      </c>
      <c r="D24" s="2695"/>
      <c r="E24" s="2695"/>
      <c r="F24" s="2695"/>
      <c r="G24" s="2695"/>
      <c r="H24" s="2695"/>
      <c r="I24" s="2695"/>
      <c r="J24" s="2693"/>
      <c r="K24" s="101"/>
      <c r="L24" s="128"/>
      <c r="M24" s="92"/>
      <c r="N24" s="92"/>
      <c r="O24" s="92"/>
    </row>
    <row r="25" spans="1:15" x14ac:dyDescent="0.25">
      <c r="A25" s="96"/>
      <c r="B25" s="129"/>
      <c r="C25" s="106"/>
      <c r="D25" s="101"/>
      <c r="E25" s="101"/>
      <c r="F25" s="101"/>
      <c r="G25" s="101"/>
      <c r="H25" s="101"/>
      <c r="I25" s="101"/>
      <c r="J25" s="101"/>
      <c r="K25" s="101"/>
      <c r="L25" s="128"/>
      <c r="M25" s="92"/>
      <c r="N25" s="92"/>
      <c r="O25" s="92"/>
    </row>
    <row r="26" spans="1:15" ht="12.75" customHeight="1" x14ac:dyDescent="0.25">
      <c r="A26" s="96"/>
      <c r="B26" s="129"/>
      <c r="C26" s="101"/>
      <c r="D26" s="101"/>
      <c r="E26" s="2694" t="str">
        <f>IF(ISERROR(SEARCH("residential",WaterService))," ","Average Cost:")</f>
        <v xml:space="preserve"> </v>
      </c>
      <c r="F26" s="2694"/>
      <c r="G26" s="121"/>
      <c r="H26" s="101"/>
      <c r="I26" s="101"/>
      <c r="J26" s="101"/>
      <c r="K26" s="101"/>
      <c r="L26" s="128"/>
      <c r="M26" s="92"/>
      <c r="N26" s="92"/>
      <c r="O26" s="92"/>
    </row>
    <row r="27" spans="1:15" x14ac:dyDescent="0.25">
      <c r="A27" s="96"/>
      <c r="B27" s="130" t="s">
        <v>820</v>
      </c>
      <c r="C27" s="116"/>
      <c r="D27" s="101"/>
      <c r="E27" s="101"/>
      <c r="F27" s="101"/>
      <c r="G27" s="101"/>
      <c r="H27" s="101"/>
      <c r="I27" s="101"/>
      <c r="J27" s="101"/>
      <c r="K27" s="101"/>
      <c r="L27" s="128"/>
      <c r="M27" s="92"/>
      <c r="N27" s="92"/>
      <c r="O27" s="92"/>
    </row>
    <row r="28" spans="1:15" ht="58.5" customHeight="1" x14ac:dyDescent="0.25">
      <c r="A28" s="96"/>
      <c r="B28" s="129"/>
      <c r="C28" s="2689" t="s">
        <v>832</v>
      </c>
      <c r="D28" s="2689"/>
      <c r="E28" s="2689"/>
      <c r="F28" s="2689"/>
      <c r="G28" s="2689"/>
      <c r="H28" s="2689"/>
      <c r="I28" s="2689"/>
      <c r="J28" s="2689"/>
      <c r="K28" s="114"/>
      <c r="L28" s="128"/>
      <c r="M28" s="92"/>
      <c r="N28" s="92"/>
      <c r="O28" s="92"/>
    </row>
    <row r="29" spans="1:15" x14ac:dyDescent="0.25">
      <c r="A29" s="96"/>
      <c r="B29" s="129"/>
      <c r="C29" s="2692" t="s">
        <v>1508</v>
      </c>
      <c r="D29" s="2693"/>
      <c r="E29" s="114"/>
      <c r="F29" s="114"/>
      <c r="G29" s="114"/>
      <c r="H29" s="114"/>
      <c r="I29" s="114"/>
      <c r="J29" s="114"/>
      <c r="K29" s="114"/>
      <c r="L29" s="128"/>
      <c r="M29" s="92"/>
      <c r="N29" s="92"/>
      <c r="O29" s="92"/>
    </row>
    <row r="30" spans="1:15" x14ac:dyDescent="0.25">
      <c r="A30" s="96"/>
      <c r="B30" s="129"/>
      <c r="C30" s="101"/>
      <c r="D30" s="102"/>
      <c r="E30" s="101"/>
      <c r="F30" s="113"/>
      <c r="G30" s="101"/>
      <c r="H30" s="101"/>
      <c r="I30" s="101"/>
      <c r="J30" s="101"/>
      <c r="K30" s="101"/>
      <c r="L30" s="128"/>
      <c r="M30" s="92"/>
      <c r="N30" s="92"/>
      <c r="O30" s="92"/>
    </row>
    <row r="31" spans="1:15" x14ac:dyDescent="0.25">
      <c r="A31" s="96"/>
      <c r="B31" s="127" t="s">
        <v>822</v>
      </c>
      <c r="C31" s="118"/>
      <c r="D31" s="101"/>
      <c r="E31" s="101"/>
      <c r="F31" s="101"/>
      <c r="G31" s="101"/>
      <c r="H31" s="101"/>
      <c r="I31" s="101"/>
      <c r="J31" s="101"/>
      <c r="K31" s="101"/>
      <c r="L31" s="128"/>
      <c r="M31" s="92"/>
      <c r="N31" s="92"/>
      <c r="O31" s="92"/>
    </row>
    <row r="32" spans="1:15" ht="12.75" customHeight="1" x14ac:dyDescent="0.25">
      <c r="A32" s="100"/>
      <c r="B32" s="131"/>
      <c r="C32" s="101"/>
      <c r="D32" s="122"/>
      <c r="E32" s="122"/>
      <c r="F32" s="122"/>
      <c r="G32" s="122"/>
      <c r="H32" s="122"/>
      <c r="I32" s="122"/>
      <c r="J32" s="122"/>
      <c r="K32" s="122"/>
      <c r="L32" s="128"/>
      <c r="M32" s="92"/>
      <c r="N32" s="92"/>
      <c r="O32" s="92"/>
    </row>
    <row r="33" spans="1:25" x14ac:dyDescent="0.25">
      <c r="A33" s="96"/>
      <c r="B33" s="129"/>
      <c r="C33" s="119" t="s">
        <v>823</v>
      </c>
      <c r="D33" s="122"/>
      <c r="E33" s="122"/>
      <c r="F33" s="1526" t="s">
        <v>1088</v>
      </c>
      <c r="G33" s="122"/>
      <c r="H33" s="132" t="str">
        <f>IF(NSF="Yes","Amount:"," ")</f>
        <v>Amount:</v>
      </c>
      <c r="I33" s="1131">
        <v>25</v>
      </c>
      <c r="J33" s="101"/>
      <c r="K33" s="122"/>
      <c r="L33" s="128"/>
      <c r="M33" s="92"/>
      <c r="N33" s="92"/>
      <c r="O33" s="92"/>
    </row>
    <row r="34" spans="1:25" x14ac:dyDescent="0.25">
      <c r="A34" s="96"/>
      <c r="B34" s="129"/>
      <c r="C34" s="122"/>
      <c r="D34" s="133" t="str">
        <f>IF(NSF="Yes","Is the Utility also regulated for electric and/or sewer rates?"," ")</f>
        <v>Is the Utility also regulated for electric and/or sewer rates?</v>
      </c>
      <c r="E34" s="101"/>
      <c r="F34" s="1527"/>
      <c r="G34" s="132"/>
      <c r="H34" s="132"/>
      <c r="I34" s="2657" t="s">
        <v>1509</v>
      </c>
      <c r="J34" s="2657"/>
      <c r="K34" s="122"/>
      <c r="L34" s="128"/>
      <c r="M34" s="92"/>
      <c r="N34" s="92"/>
      <c r="O34" s="92"/>
    </row>
    <row r="35" spans="1:25" ht="12.75" customHeight="1" x14ac:dyDescent="0.25">
      <c r="A35" s="96"/>
      <c r="B35" s="129"/>
      <c r="C35" s="122"/>
      <c r="D35" s="133" t="str">
        <f>IF(NSF="Yes","Amount charged by your financial institution:"," ")</f>
        <v>Amount charged by your financial institution:</v>
      </c>
      <c r="E35" s="101"/>
      <c r="F35" s="1528"/>
      <c r="G35" s="101"/>
      <c r="H35" s="101"/>
      <c r="I35" s="45">
        <v>0</v>
      </c>
      <c r="J35" s="122"/>
      <c r="K35" s="122"/>
      <c r="L35" s="128"/>
      <c r="M35" s="92"/>
      <c r="N35" s="92"/>
      <c r="O35" s="92"/>
    </row>
    <row r="36" spans="1:25" x14ac:dyDescent="0.25">
      <c r="A36" s="96"/>
      <c r="B36" s="129"/>
      <c r="C36" s="135" t="s">
        <v>824</v>
      </c>
      <c r="D36" s="135"/>
      <c r="E36" s="135"/>
      <c r="F36" s="1526" t="s">
        <v>963</v>
      </c>
      <c r="G36" s="135"/>
      <c r="H36" s="132" t="str">
        <f>IF(SpecialBilling="Yes","Amount:"," ")</f>
        <v xml:space="preserve"> </v>
      </c>
      <c r="I36" s="1184"/>
      <c r="J36" s="135"/>
      <c r="K36" s="135"/>
      <c r="L36" s="128"/>
      <c r="M36" s="92"/>
      <c r="N36" s="92"/>
      <c r="O36" s="92"/>
    </row>
    <row r="37" spans="1:25" x14ac:dyDescent="0.25">
      <c r="A37" s="96"/>
      <c r="B37" s="129"/>
      <c r="C37" s="1531" t="s">
        <v>825</v>
      </c>
      <c r="D37" s="105"/>
      <c r="E37" s="101"/>
      <c r="F37" s="1526" t="s">
        <v>963</v>
      </c>
      <c r="G37" s="101"/>
      <c r="H37" s="132" t="str">
        <f>IF(SpecialMeterReading="Yes","Amount:"," ")</f>
        <v xml:space="preserve"> </v>
      </c>
      <c r="I37" s="1131"/>
      <c r="J37" s="101"/>
      <c r="K37" s="101"/>
      <c r="L37" s="128"/>
      <c r="M37" s="92"/>
      <c r="N37" s="92"/>
      <c r="O37" s="92"/>
    </row>
    <row r="38" spans="1:25" ht="12" customHeight="1" x14ac:dyDescent="0.25">
      <c r="A38" s="96"/>
      <c r="B38" s="136"/>
      <c r="C38" s="1531" t="s">
        <v>826</v>
      </c>
      <c r="D38" s="101"/>
      <c r="E38" s="101"/>
      <c r="F38" s="1526" t="s">
        <v>1088</v>
      </c>
      <c r="G38" s="101"/>
      <c r="H38" s="132" t="str">
        <f>IF(MissedAppt="Yes","Normal:"," ")</f>
        <v>Normal:</v>
      </c>
      <c r="I38" s="1131">
        <v>25</v>
      </c>
      <c r="J38" s="133" t="str">
        <f>IF(MissedAppt="Yes","After Hours:"," ")</f>
        <v>After Hours:</v>
      </c>
      <c r="K38" s="1131">
        <v>40</v>
      </c>
      <c r="L38" s="128"/>
      <c r="M38" s="92"/>
      <c r="N38" s="92"/>
      <c r="O38" s="92"/>
    </row>
    <row r="39" spans="1:25" x14ac:dyDescent="0.25">
      <c r="A39" s="96"/>
      <c r="B39" s="129"/>
      <c r="C39" s="1531" t="s">
        <v>827</v>
      </c>
      <c r="D39" s="101"/>
      <c r="E39" s="101"/>
      <c r="F39" s="1526" t="s">
        <v>1088</v>
      </c>
      <c r="G39" s="101"/>
      <c r="H39" s="132" t="str">
        <f>IF(RealEstateClosing="Yes","Amount:"," ")</f>
        <v>Amount:</v>
      </c>
      <c r="I39" s="1131">
        <v>25</v>
      </c>
      <c r="J39" s="101"/>
      <c r="K39" s="101"/>
      <c r="L39" s="128"/>
      <c r="M39" s="92"/>
      <c r="N39" s="92"/>
      <c r="O39" s="92"/>
    </row>
    <row r="40" spans="1:25" x14ac:dyDescent="0.25">
      <c r="A40" s="96"/>
      <c r="B40" s="129"/>
      <c r="C40" s="1533"/>
      <c r="D40" s="101"/>
      <c r="E40" s="101"/>
      <c r="F40" s="1620"/>
      <c r="G40" s="101"/>
      <c r="H40" s="135"/>
      <c r="I40" s="135"/>
      <c r="J40" s="135"/>
      <c r="K40" s="135"/>
      <c r="L40" s="128"/>
      <c r="M40" s="92"/>
      <c r="N40" s="92"/>
      <c r="O40" s="92"/>
    </row>
    <row r="41" spans="1:25" x14ac:dyDescent="0.25">
      <c r="A41" s="96"/>
      <c r="B41" s="129"/>
      <c r="C41" s="123"/>
      <c r="D41" s="101"/>
      <c r="E41" s="101"/>
      <c r="F41" s="101"/>
      <c r="G41" s="101"/>
      <c r="H41" s="101"/>
      <c r="I41" s="101"/>
      <c r="J41" s="101"/>
      <c r="K41" s="101"/>
      <c r="L41" s="128"/>
      <c r="M41" s="92"/>
      <c r="N41" s="92"/>
      <c r="O41" s="92"/>
    </row>
    <row r="42" spans="1:25" x14ac:dyDescent="0.25">
      <c r="A42" s="96"/>
      <c r="B42" s="127" t="s">
        <v>828</v>
      </c>
      <c r="C42" s="123"/>
      <c r="D42" s="101"/>
      <c r="E42" s="101"/>
      <c r="F42" s="101"/>
      <c r="G42" s="101"/>
      <c r="H42" s="217"/>
      <c r="I42" s="1532" t="s">
        <v>1007</v>
      </c>
      <c r="J42" s="1532" t="s">
        <v>1008</v>
      </c>
      <c r="K42" s="1532" t="s">
        <v>1009</v>
      </c>
      <c r="L42" s="128"/>
      <c r="M42" s="92"/>
      <c r="N42" s="92"/>
      <c r="O42" s="92"/>
    </row>
    <row r="43" spans="1:25" x14ac:dyDescent="0.25">
      <c r="A43" s="96"/>
      <c r="B43" s="129"/>
      <c r="C43" s="101" t="s">
        <v>829</v>
      </c>
      <c r="D43" s="101"/>
      <c r="E43" s="101"/>
      <c r="F43" s="1132">
        <v>40</v>
      </c>
      <c r="G43" s="101"/>
      <c r="H43" s="1535" t="s">
        <v>1012</v>
      </c>
      <c r="I43" s="1539"/>
      <c r="J43" s="1539"/>
      <c r="K43" s="1539"/>
      <c r="L43" s="128"/>
      <c r="M43" s="92"/>
      <c r="N43" s="92"/>
      <c r="O43" s="92"/>
    </row>
    <row r="44" spans="1:25" ht="12.75" customHeight="1" x14ac:dyDescent="0.25">
      <c r="A44" s="100"/>
      <c r="B44" s="129"/>
      <c r="C44" s="101" t="s">
        <v>830</v>
      </c>
      <c r="D44" s="101"/>
      <c r="E44" s="101"/>
      <c r="F44" s="1132">
        <v>80</v>
      </c>
      <c r="G44" s="101"/>
      <c r="H44" s="1537" t="s">
        <v>1011</v>
      </c>
      <c r="I44" s="1534"/>
      <c r="J44" s="1534"/>
      <c r="K44" s="1534"/>
      <c r="L44" s="128"/>
      <c r="M44" s="92"/>
      <c r="N44" s="92"/>
      <c r="O44" s="92"/>
    </row>
    <row r="45" spans="1:25" x14ac:dyDescent="0.25">
      <c r="A45" s="96"/>
      <c r="B45" s="129"/>
      <c r="C45" s="101"/>
      <c r="D45" s="101"/>
      <c r="E45" s="101"/>
      <c r="F45" s="101"/>
      <c r="G45" s="101"/>
      <c r="H45" s="1538" t="s">
        <v>1010</v>
      </c>
      <c r="I45" s="1536">
        <f>I43*I44</f>
        <v>0</v>
      </c>
      <c r="J45" s="1536">
        <f>J43*J44</f>
        <v>0</v>
      </c>
      <c r="K45" s="1536">
        <f>K43*K44</f>
        <v>0</v>
      </c>
      <c r="L45" s="128"/>
      <c r="M45" s="92"/>
      <c r="N45" s="92"/>
      <c r="O45" s="92"/>
    </row>
    <row r="46" spans="1:25" ht="13.8" thickBot="1" x14ac:dyDescent="0.3">
      <c r="A46" s="97"/>
      <c r="B46" s="137"/>
      <c r="C46" s="138"/>
      <c r="D46" s="138"/>
      <c r="E46" s="138"/>
      <c r="F46" s="138"/>
      <c r="G46" s="138"/>
      <c r="H46" s="138"/>
      <c r="I46" s="138"/>
      <c r="J46" s="138"/>
      <c r="K46" s="138"/>
      <c r="L46" s="139"/>
      <c r="M46" s="92"/>
      <c r="N46" s="92"/>
      <c r="O46" s="92"/>
      <c r="P46" s="92"/>
      <c r="Q46" s="92"/>
      <c r="R46" s="92"/>
      <c r="S46" s="92"/>
      <c r="T46" s="92"/>
      <c r="U46" s="92"/>
      <c r="V46" s="92"/>
      <c r="W46" s="92"/>
      <c r="X46" s="92"/>
      <c r="Y46" s="92"/>
    </row>
    <row r="47" spans="1:25" ht="14.4" thickTop="1" thickBot="1" x14ac:dyDescent="0.3">
      <c r="A47" s="97"/>
      <c r="B47" s="96"/>
      <c r="C47" s="96"/>
      <c r="D47" s="96"/>
      <c r="E47" s="96"/>
      <c r="F47" s="96"/>
      <c r="G47" s="96"/>
      <c r="H47" s="96"/>
      <c r="I47" s="96"/>
      <c r="J47" s="96"/>
      <c r="K47" s="96"/>
      <c r="L47" s="92"/>
      <c r="M47" s="92"/>
      <c r="N47" s="92"/>
      <c r="O47" s="92"/>
      <c r="P47" s="92"/>
      <c r="Q47" s="92"/>
      <c r="R47" s="92"/>
      <c r="S47" s="92"/>
      <c r="T47" s="92"/>
      <c r="U47" s="92"/>
      <c r="V47" s="92"/>
      <c r="W47" s="92"/>
      <c r="X47" s="92"/>
      <c r="Y47" s="92"/>
    </row>
    <row r="48" spans="1:25" ht="13.8" thickTop="1" x14ac:dyDescent="0.25">
      <c r="A48" s="97"/>
      <c r="B48" s="1529" t="s">
        <v>831</v>
      </c>
      <c r="C48" s="125"/>
      <c r="D48" s="125"/>
      <c r="E48" s="125"/>
      <c r="F48" s="125"/>
      <c r="G48" s="1616"/>
      <c r="H48" s="1616"/>
      <c r="I48" s="1616"/>
      <c r="J48" s="1616"/>
      <c r="K48" s="1616"/>
      <c r="L48" s="1617"/>
      <c r="M48" s="92"/>
      <c r="N48" s="1529" t="s">
        <v>831</v>
      </c>
      <c r="O48" s="125"/>
      <c r="P48" s="125"/>
      <c r="Q48" s="125"/>
      <c r="R48" s="1615"/>
      <c r="S48" s="1616"/>
      <c r="T48" s="1616"/>
      <c r="U48" s="1616"/>
      <c r="V48" s="1616"/>
      <c r="W48" s="1616"/>
      <c r="X48" s="1617"/>
      <c r="Y48" s="92"/>
    </row>
    <row r="49" spans="1:25" ht="12.75" customHeight="1" x14ac:dyDescent="0.25">
      <c r="A49" s="97"/>
      <c r="B49" s="129"/>
      <c r="C49" s="101"/>
      <c r="D49" s="101"/>
      <c r="E49" s="101"/>
      <c r="F49" s="101"/>
      <c r="G49" s="101"/>
      <c r="H49" s="101"/>
      <c r="I49" s="101"/>
      <c r="J49" s="101"/>
      <c r="K49" s="101"/>
      <c r="L49" s="128"/>
      <c r="M49" s="92"/>
      <c r="N49" s="129"/>
      <c r="O49" s="101"/>
      <c r="P49" s="101"/>
      <c r="Q49" s="101"/>
      <c r="R49" s="101"/>
      <c r="S49" s="101"/>
      <c r="T49" s="101"/>
      <c r="U49" s="101"/>
      <c r="V49" s="101"/>
      <c r="W49" s="101"/>
      <c r="X49" s="128"/>
      <c r="Y49" s="92"/>
    </row>
    <row r="50" spans="1:25" ht="15" customHeight="1" x14ac:dyDescent="0.25">
      <c r="A50" s="97"/>
      <c r="B50" s="150"/>
      <c r="C50" s="120" t="s">
        <v>1092</v>
      </c>
      <c r="D50" s="145"/>
      <c r="E50" s="144"/>
      <c r="F50" s="144"/>
      <c r="G50" s="144"/>
      <c r="H50" s="144"/>
      <c r="I50" s="144"/>
      <c r="J50" s="135"/>
      <c r="K50" s="119"/>
      <c r="L50" s="128"/>
      <c r="M50" s="92"/>
      <c r="N50" s="150"/>
      <c r="O50" s="2700" t="s">
        <v>1095</v>
      </c>
      <c r="P50" s="2700"/>
      <c r="Q50" s="2700"/>
      <c r="R50" s="2700"/>
      <c r="S50" s="2700"/>
      <c r="T50" s="2700"/>
      <c r="U50" s="2700"/>
      <c r="V50" s="2700"/>
      <c r="W50" s="2700"/>
      <c r="X50" s="128"/>
      <c r="Y50" s="92"/>
    </row>
    <row r="51" spans="1:25" ht="12.75" customHeight="1" x14ac:dyDescent="0.25">
      <c r="A51" s="97"/>
      <c r="B51" s="150"/>
      <c r="C51" s="2653" t="s">
        <v>1510</v>
      </c>
      <c r="D51" s="2655"/>
      <c r="E51" s="144"/>
      <c r="F51" s="148" t="str">
        <f>IF(PFPCharge=""," ",IF(ISERROR(SEARCH("Municipal",PFPCharge)),"Method for calculating direct charges:"," "))</f>
        <v>Method for calculating direct charges:</v>
      </c>
      <c r="G51" s="144"/>
      <c r="H51" s="144"/>
      <c r="I51" s="144"/>
      <c r="J51" s="2698" t="s">
        <v>1511</v>
      </c>
      <c r="K51" s="2698"/>
      <c r="L51" s="128"/>
      <c r="M51" s="92"/>
      <c r="N51" s="150"/>
      <c r="O51" s="2700"/>
      <c r="P51" s="2700"/>
      <c r="Q51" s="2700"/>
      <c r="R51" s="2700"/>
      <c r="S51" s="2700"/>
      <c r="T51" s="2700"/>
      <c r="U51" s="2700"/>
      <c r="V51" s="2700"/>
      <c r="W51" s="2700"/>
      <c r="X51" s="128"/>
      <c r="Y51" s="92"/>
    </row>
    <row r="52" spans="1:25" ht="13.8" thickBot="1" x14ac:dyDescent="0.3">
      <c r="A52" s="97"/>
      <c r="B52" s="150"/>
      <c r="C52" s="145"/>
      <c r="D52" s="145"/>
      <c r="E52" s="145"/>
      <c r="F52" s="148" t="str">
        <f>IF(PFPCharge="Combination","Dollar amount or percentage as municipal charge:"," ")</f>
        <v xml:space="preserve"> </v>
      </c>
      <c r="G52" s="144"/>
      <c r="H52" s="144"/>
      <c r="I52" s="144"/>
      <c r="J52" s="113"/>
      <c r="K52" s="119"/>
      <c r="L52" s="128"/>
      <c r="M52" s="92"/>
      <c r="N52" s="150"/>
      <c r="O52" s="145"/>
      <c r="P52" s="145"/>
      <c r="Q52" s="145"/>
      <c r="R52" s="148"/>
      <c r="S52" s="144"/>
      <c r="T52" s="144"/>
      <c r="U52" s="144"/>
      <c r="V52" s="113"/>
      <c r="W52" s="119"/>
      <c r="X52" s="128"/>
      <c r="Y52" s="92"/>
    </row>
    <row r="53" spans="1:25" ht="12.75" customHeight="1" thickBot="1" x14ac:dyDescent="0.3">
      <c r="A53" s="97"/>
      <c r="B53" s="150"/>
      <c r="C53" s="135"/>
      <c r="D53" s="145"/>
      <c r="E53" s="145"/>
      <c r="F53" s="145"/>
      <c r="G53" s="144"/>
      <c r="H53" s="144"/>
      <c r="I53" s="144"/>
      <c r="J53" s="135"/>
      <c r="K53" s="119"/>
      <c r="L53" s="128"/>
      <c r="M53" s="92"/>
      <c r="N53" s="1671"/>
      <c r="O53" s="2699" t="s">
        <v>1097</v>
      </c>
      <c r="P53" s="2699"/>
      <c r="Q53" s="2699"/>
      <c r="R53" s="2699"/>
      <c r="S53" s="2699"/>
      <c r="T53" s="2699"/>
      <c r="U53" s="2699"/>
      <c r="V53" s="2699"/>
      <c r="W53" s="2699"/>
      <c r="X53" s="128"/>
      <c r="Y53" s="92"/>
    </row>
    <row r="54" spans="1:25" x14ac:dyDescent="0.25">
      <c r="A54" s="97"/>
      <c r="B54" s="150"/>
      <c r="C54" s="149" t="str">
        <f>IF(PFPCharge="","",IF(ISERROR(SEARCH("Municipal",PFPCharge)),"Will direct charges also be applied to non-customers who own property in the municipality?"," "))</f>
        <v>Will direct charges also be applied to non-customers who own property in the municipality?</v>
      </c>
      <c r="D54" s="101"/>
      <c r="E54" s="146"/>
      <c r="F54" s="101"/>
      <c r="G54" s="147"/>
      <c r="H54" s="119"/>
      <c r="I54" s="119"/>
      <c r="J54" s="119"/>
      <c r="K54" s="119"/>
      <c r="L54" s="128"/>
      <c r="M54" s="92"/>
      <c r="N54" s="150"/>
      <c r="O54" s="2699"/>
      <c r="P54" s="2699"/>
      <c r="Q54" s="2699"/>
      <c r="R54" s="2699"/>
      <c r="S54" s="2699"/>
      <c r="T54" s="2699"/>
      <c r="U54" s="2699"/>
      <c r="V54" s="2699"/>
      <c r="W54" s="2699"/>
      <c r="X54" s="128"/>
      <c r="Y54" s="92"/>
    </row>
    <row r="55" spans="1:25" x14ac:dyDescent="0.25">
      <c r="A55" s="97"/>
      <c r="B55" s="150"/>
      <c r="C55" s="119"/>
      <c r="D55" s="2661" t="s">
        <v>963</v>
      </c>
      <c r="E55" s="2661"/>
      <c r="F55" s="135"/>
      <c r="G55" s="1183" t="str">
        <f>IF(D55="Yes - including vacant lots", "Number of lots","")</f>
        <v/>
      </c>
      <c r="H55" s="119"/>
      <c r="I55" s="119"/>
      <c r="J55" s="119"/>
      <c r="K55" s="119"/>
      <c r="L55" s="128"/>
      <c r="M55" s="92"/>
      <c r="N55" s="150"/>
      <c r="O55" s="2699"/>
      <c r="P55" s="2699"/>
      <c r="Q55" s="2699"/>
      <c r="R55" s="2699"/>
      <c r="S55" s="2699"/>
      <c r="T55" s="2699"/>
      <c r="U55" s="2699"/>
      <c r="V55" s="2699"/>
      <c r="W55" s="2699"/>
      <c r="X55" s="128"/>
      <c r="Y55" s="92"/>
    </row>
    <row r="56" spans="1:25" ht="13.8" thickBot="1" x14ac:dyDescent="0.3">
      <c r="A56" s="97"/>
      <c r="B56" s="150"/>
      <c r="C56" s="119"/>
      <c r="D56" s="1625"/>
      <c r="E56" s="1625"/>
      <c r="F56" s="135"/>
      <c r="G56" s="1624"/>
      <c r="H56" s="119"/>
      <c r="I56" s="119"/>
      <c r="J56" s="119"/>
      <c r="K56" s="119"/>
      <c r="L56" s="128"/>
      <c r="M56" s="92"/>
      <c r="N56" s="150"/>
      <c r="O56" s="2699"/>
      <c r="P56" s="2699"/>
      <c r="Q56" s="2699"/>
      <c r="R56" s="2699"/>
      <c r="S56" s="2699"/>
      <c r="T56" s="2699"/>
      <c r="U56" s="2699"/>
      <c r="V56" s="2699"/>
      <c r="W56" s="2699"/>
      <c r="X56" s="128"/>
      <c r="Y56" s="92"/>
    </row>
    <row r="57" spans="1:25" ht="13.8" thickBot="1" x14ac:dyDescent="0.3">
      <c r="A57" s="97"/>
      <c r="B57" s="150"/>
      <c r="C57" s="119" t="s">
        <v>1086</v>
      </c>
      <c r="D57" s="1625"/>
      <c r="E57" s="1625"/>
      <c r="F57" s="135"/>
      <c r="G57" s="1624"/>
      <c r="H57" s="119"/>
      <c r="I57" s="119"/>
      <c r="J57" s="119"/>
      <c r="K57" s="119"/>
      <c r="L57" s="128"/>
      <c r="M57" s="92"/>
      <c r="N57" s="1671"/>
      <c r="O57" s="2701" t="s">
        <v>1094</v>
      </c>
      <c r="P57" s="2701"/>
      <c r="Q57" s="2701"/>
      <c r="R57" s="2701"/>
      <c r="S57" s="2701"/>
      <c r="T57" s="2701"/>
      <c r="U57" s="2701"/>
      <c r="V57" s="2701"/>
      <c r="W57" s="2701"/>
      <c r="X57" s="128"/>
      <c r="Y57" s="92"/>
    </row>
    <row r="58" spans="1:25" ht="13.8" thickBot="1" x14ac:dyDescent="0.3">
      <c r="A58" s="97"/>
      <c r="B58" s="150"/>
      <c r="C58" s="119" t="s">
        <v>1085</v>
      </c>
      <c r="D58" s="1440"/>
      <c r="E58" s="146"/>
      <c r="F58" s="146"/>
      <c r="G58" s="113"/>
      <c r="H58" s="119"/>
      <c r="I58" s="119"/>
      <c r="J58" s="119"/>
      <c r="K58" s="1430" t="s">
        <v>963</v>
      </c>
      <c r="L58" s="128"/>
      <c r="M58" s="92"/>
      <c r="N58" s="150"/>
      <c r="O58" s="2701"/>
      <c r="P58" s="2701"/>
      <c r="Q58" s="2701"/>
      <c r="R58" s="2701"/>
      <c r="S58" s="2701"/>
      <c r="T58" s="2701"/>
      <c r="U58" s="2701"/>
      <c r="V58" s="2701"/>
      <c r="W58" s="2701"/>
      <c r="X58" s="128"/>
      <c r="Y58" s="92"/>
    </row>
    <row r="59" spans="1:25" ht="12.75" customHeight="1" thickBot="1" x14ac:dyDescent="0.3">
      <c r="A59" s="97"/>
      <c r="B59" s="150"/>
      <c r="C59" s="2689" t="s">
        <v>1087</v>
      </c>
      <c r="D59" s="2689"/>
      <c r="E59" s="2689"/>
      <c r="F59" s="2689"/>
      <c r="G59" s="2689"/>
      <c r="H59" s="2689"/>
      <c r="I59" s="2689"/>
      <c r="J59" s="119"/>
      <c r="K59" s="1430" t="s">
        <v>963</v>
      </c>
      <c r="L59" s="128"/>
      <c r="M59" s="92"/>
      <c r="N59" s="1671"/>
      <c r="O59" s="2689" t="s">
        <v>1216</v>
      </c>
      <c r="P59" s="2689"/>
      <c r="Q59" s="2689"/>
      <c r="R59" s="2689"/>
      <c r="S59" s="2689"/>
      <c r="T59" s="2689"/>
      <c r="U59" s="2689"/>
      <c r="V59" s="2689"/>
      <c r="W59" s="2689"/>
      <c r="X59" s="128"/>
      <c r="Y59" s="92"/>
    </row>
    <row r="60" spans="1:25" x14ac:dyDescent="0.25">
      <c r="A60" s="97"/>
      <c r="B60" s="150"/>
      <c r="C60" s="2689"/>
      <c r="D60" s="2689"/>
      <c r="E60" s="2689"/>
      <c r="F60" s="2689"/>
      <c r="G60" s="2689"/>
      <c r="H60" s="2689"/>
      <c r="I60" s="2689"/>
      <c r="J60" s="119"/>
      <c r="K60" s="119"/>
      <c r="L60" s="128"/>
      <c r="M60" s="92"/>
      <c r="N60" s="150"/>
      <c r="O60" s="2689"/>
      <c r="P60" s="2689"/>
      <c r="Q60" s="2689"/>
      <c r="R60" s="2689"/>
      <c r="S60" s="2689"/>
      <c r="T60" s="2689"/>
      <c r="U60" s="2689"/>
      <c r="V60" s="2689"/>
      <c r="W60" s="2689"/>
      <c r="X60" s="128"/>
      <c r="Y60" s="92"/>
    </row>
    <row r="61" spans="1:25" ht="13.8" thickBot="1" x14ac:dyDescent="0.3">
      <c r="A61" s="97"/>
      <c r="B61" s="151"/>
      <c r="C61" s="152"/>
      <c r="D61" s="152"/>
      <c r="E61" s="153"/>
      <c r="F61" s="153"/>
      <c r="G61" s="154"/>
      <c r="H61" s="152"/>
      <c r="I61" s="152"/>
      <c r="J61" s="152"/>
      <c r="K61" s="152"/>
      <c r="L61" s="139"/>
      <c r="M61" s="92"/>
      <c r="N61" s="150"/>
      <c r="O61" s="2689"/>
      <c r="P61" s="2689"/>
      <c r="Q61" s="2689"/>
      <c r="R61" s="2689"/>
      <c r="S61" s="2689"/>
      <c r="T61" s="2689"/>
      <c r="U61" s="2689"/>
      <c r="V61" s="2689"/>
      <c r="W61" s="2689"/>
      <c r="X61" s="128"/>
      <c r="Y61" s="92"/>
    </row>
    <row r="62" spans="1:25" ht="14.4" thickTop="1" thickBot="1" x14ac:dyDescent="0.3">
      <c r="A62" s="97"/>
      <c r="B62" s="141"/>
      <c r="C62" s="142"/>
      <c r="D62" s="142"/>
      <c r="E62" s="1413"/>
      <c r="F62" s="1413"/>
      <c r="G62" s="99"/>
      <c r="H62" s="142"/>
      <c r="I62" s="142"/>
      <c r="J62" s="142"/>
      <c r="K62" s="142"/>
      <c r="L62" s="96"/>
      <c r="M62" s="92"/>
      <c r="N62" s="150"/>
      <c r="O62" s="2689"/>
      <c r="P62" s="2689"/>
      <c r="Q62" s="2689"/>
      <c r="R62" s="2689"/>
      <c r="S62" s="2689"/>
      <c r="T62" s="2689"/>
      <c r="U62" s="2689"/>
      <c r="V62" s="2689"/>
      <c r="W62" s="2689"/>
      <c r="X62" s="128"/>
      <c r="Y62" s="92"/>
    </row>
    <row r="63" spans="1:25" ht="14.4" thickTop="1" thickBot="1" x14ac:dyDescent="0.3">
      <c r="A63" s="97"/>
      <c r="B63" s="1530" t="s">
        <v>996</v>
      </c>
      <c r="C63" s="1414"/>
      <c r="D63" s="1414"/>
      <c r="E63" s="1415"/>
      <c r="F63" s="1415"/>
      <c r="G63" s="1416"/>
      <c r="H63" s="1414"/>
      <c r="I63" s="1414"/>
      <c r="J63" s="1417"/>
      <c r="K63" s="1417"/>
      <c r="L63" s="1428"/>
      <c r="M63" s="92"/>
      <c r="N63" s="150"/>
      <c r="O63" s="2689"/>
      <c r="P63" s="2689"/>
      <c r="Q63" s="2689"/>
      <c r="R63" s="2689"/>
      <c r="S63" s="2689"/>
      <c r="T63" s="2689"/>
      <c r="U63" s="2689"/>
      <c r="V63" s="2689"/>
      <c r="W63" s="2689"/>
      <c r="X63" s="128"/>
      <c r="Y63" s="92"/>
    </row>
    <row r="64" spans="1:25" ht="13.8" thickBot="1" x14ac:dyDescent="0.3">
      <c r="A64" s="97"/>
      <c r="B64" s="1406"/>
      <c r="C64" s="133"/>
      <c r="D64" s="133"/>
      <c r="E64" s="1418"/>
      <c r="F64" s="1418"/>
      <c r="G64" s="1419"/>
      <c r="H64" s="133"/>
      <c r="I64" s="133"/>
      <c r="J64" s="1420"/>
      <c r="K64" s="1420"/>
      <c r="L64" s="1409"/>
      <c r="M64" s="92"/>
      <c r="N64" s="1671"/>
      <c r="O64" s="2689"/>
      <c r="P64" s="2689"/>
      <c r="Q64" s="2689"/>
      <c r="R64" s="2689"/>
      <c r="S64" s="2689"/>
      <c r="T64" s="2689"/>
      <c r="U64" s="2689"/>
      <c r="V64" s="2689"/>
      <c r="W64" s="2689"/>
      <c r="X64" s="128"/>
      <c r="Y64" s="92"/>
    </row>
    <row r="65" spans="1:25" x14ac:dyDescent="0.25">
      <c r="A65" s="97"/>
      <c r="B65" s="1406"/>
      <c r="C65" s="133" t="s">
        <v>994</v>
      </c>
      <c r="D65" s="133"/>
      <c r="E65" s="1418"/>
      <c r="F65" s="1418"/>
      <c r="G65" s="1419"/>
      <c r="H65" s="133"/>
      <c r="I65" s="133"/>
      <c r="J65" s="1430" t="s">
        <v>963</v>
      </c>
      <c r="K65" s="1420"/>
      <c r="L65" s="1409"/>
      <c r="M65" s="92"/>
      <c r="N65" s="150"/>
      <c r="O65" s="2689"/>
      <c r="P65" s="2689"/>
      <c r="Q65" s="2689"/>
      <c r="R65" s="2689"/>
      <c r="S65" s="2689"/>
      <c r="T65" s="2689"/>
      <c r="U65" s="2689"/>
      <c r="V65" s="2689"/>
      <c r="W65" s="2689"/>
      <c r="X65" s="128"/>
      <c r="Y65" s="92"/>
    </row>
    <row r="66" spans="1:25" x14ac:dyDescent="0.25">
      <c r="A66" s="97"/>
      <c r="B66" s="1406"/>
      <c r="C66" s="133"/>
      <c r="D66" s="133"/>
      <c r="E66" s="1418"/>
      <c r="F66" s="1418"/>
      <c r="G66" s="1419"/>
      <c r="H66" s="133"/>
      <c r="I66" s="133"/>
      <c r="J66" s="1420"/>
      <c r="K66" s="1420"/>
      <c r="L66" s="128"/>
      <c r="M66" s="92"/>
      <c r="N66" s="150"/>
      <c r="O66" s="2689"/>
      <c r="P66" s="2689"/>
      <c r="Q66" s="2689"/>
      <c r="R66" s="2689"/>
      <c r="S66" s="2689"/>
      <c r="T66" s="2689"/>
      <c r="U66" s="2689"/>
      <c r="V66" s="2689"/>
      <c r="W66" s="2689"/>
      <c r="X66" s="128"/>
      <c r="Y66" s="92"/>
    </row>
    <row r="67" spans="1:25" x14ac:dyDescent="0.25">
      <c r="A67" s="97"/>
      <c r="B67" s="1406"/>
      <c r="C67" s="133" t="str">
        <f>IF(J65="Yes","In which of the following four situations would the utility deny a DPA to a residential tenant? ","")</f>
        <v/>
      </c>
      <c r="D67" s="133"/>
      <c r="E67" s="1418"/>
      <c r="F67" s="1418"/>
      <c r="G67" s="1419"/>
      <c r="H67" s="133"/>
      <c r="I67" s="133"/>
      <c r="J67" s="1420"/>
      <c r="K67" s="1420"/>
      <c r="L67" s="1409"/>
      <c r="M67" s="92"/>
      <c r="N67" s="150"/>
      <c r="O67" s="2689"/>
      <c r="P67" s="2689"/>
      <c r="Q67" s="2689"/>
      <c r="R67" s="2689"/>
      <c r="S67" s="2689"/>
      <c r="T67" s="2689"/>
      <c r="U67" s="2689"/>
      <c r="V67" s="2689"/>
      <c r="W67" s="2689"/>
      <c r="X67" s="128"/>
      <c r="Y67" s="92"/>
    </row>
    <row r="68" spans="1:25" x14ac:dyDescent="0.25">
      <c r="A68" s="97"/>
      <c r="B68" s="1406"/>
      <c r="C68" s="1421" t="str">
        <f>IF(J65="Yes","(You may choose one, all or any combination of the four criteria below)","")</f>
        <v/>
      </c>
      <c r="D68" s="1422"/>
      <c r="E68" s="1418"/>
      <c r="F68" s="1418"/>
      <c r="G68" s="1419"/>
      <c r="H68" s="133"/>
      <c r="I68" s="133"/>
      <c r="J68" s="1420"/>
      <c r="K68" s="1420"/>
      <c r="L68" s="1409"/>
      <c r="M68" s="92"/>
      <c r="N68" s="150"/>
      <c r="O68" s="122"/>
      <c r="P68" s="122"/>
      <c r="Q68" s="122"/>
      <c r="R68" s="122"/>
      <c r="S68" s="122"/>
      <c r="T68" s="122"/>
      <c r="U68" s="122"/>
      <c r="V68" s="122"/>
      <c r="W68" s="122"/>
      <c r="X68" s="128"/>
      <c r="Y68" s="92"/>
    </row>
    <row r="69" spans="1:25" x14ac:dyDescent="0.25">
      <c r="A69" s="97"/>
      <c r="B69" s="1406"/>
      <c r="C69" s="1421"/>
      <c r="D69" s="1422"/>
      <c r="E69" s="1418"/>
      <c r="F69" s="1418"/>
      <c r="G69" s="1419"/>
      <c r="H69" s="133"/>
      <c r="I69" s="133"/>
      <c r="J69" s="1420"/>
      <c r="K69" s="1420"/>
      <c r="L69" s="1409"/>
      <c r="M69" s="92"/>
      <c r="N69" s="150"/>
      <c r="O69" s="2689" t="s">
        <v>1235</v>
      </c>
      <c r="P69" s="2689"/>
      <c r="Q69" s="2689"/>
      <c r="R69" s="2689"/>
      <c r="S69" s="2689"/>
      <c r="T69" s="2689"/>
      <c r="U69" s="2689"/>
      <c r="V69" s="2689"/>
      <c r="W69" s="2689"/>
      <c r="X69" s="128"/>
      <c r="Y69" s="92"/>
    </row>
    <row r="70" spans="1:25" x14ac:dyDescent="0.25">
      <c r="A70" s="97"/>
      <c r="B70" s="1406"/>
      <c r="C70" s="133" t="str">
        <f>IF(J65="Yes","1.  Account greater than $100 and 90 days past due (2 bills cycles past due for utilities that do not bill monthly)","")</f>
        <v/>
      </c>
      <c r="D70" s="1422"/>
      <c r="E70" s="1418"/>
      <c r="F70" s="1418"/>
      <c r="G70" s="1419"/>
      <c r="H70" s="133"/>
      <c r="I70" s="133"/>
      <c r="J70" s="1420"/>
      <c r="K70" s="1420"/>
      <c r="L70" s="1431"/>
      <c r="M70" s="92"/>
      <c r="N70" s="150"/>
      <c r="O70" s="2689"/>
      <c r="P70" s="2689"/>
      <c r="Q70" s="2689"/>
      <c r="R70" s="2689"/>
      <c r="S70" s="2689"/>
      <c r="T70" s="2689"/>
      <c r="U70" s="2689"/>
      <c r="V70" s="2689"/>
      <c r="W70" s="2689"/>
      <c r="X70" s="128"/>
      <c r="Y70" s="92"/>
    </row>
    <row r="71" spans="1:25" x14ac:dyDescent="0.25">
      <c r="A71" s="97"/>
      <c r="B71" s="1406"/>
      <c r="C71" s="133" t="str">
        <f>IF(J65="Yes","2.  The tenant has defaulted on a DPA in the past 12 months.","")</f>
        <v/>
      </c>
      <c r="D71" s="1422"/>
      <c r="E71" s="1418"/>
      <c r="F71" s="1418"/>
      <c r="G71" s="1419"/>
      <c r="H71" s="133"/>
      <c r="I71" s="133"/>
      <c r="J71" s="1420"/>
      <c r="K71" s="1420"/>
      <c r="L71" s="1431"/>
      <c r="M71" s="92"/>
      <c r="N71" s="150"/>
      <c r="O71" s="2689"/>
      <c r="P71" s="2689"/>
      <c r="Q71" s="2689"/>
      <c r="R71" s="2689"/>
      <c r="S71" s="2689"/>
      <c r="T71" s="2689"/>
      <c r="U71" s="2689"/>
      <c r="V71" s="2689"/>
      <c r="W71" s="2689"/>
      <c r="X71" s="128"/>
      <c r="Y71" s="92"/>
    </row>
    <row r="72" spans="1:25" x14ac:dyDescent="0.25">
      <c r="A72" s="97"/>
      <c r="B72" s="1406"/>
      <c r="C72" s="133" t="str">
        <f>IF(J65="Yes","3.  The tenant's arrears were placed on an owner's property taxes within the past 24 months.","")</f>
        <v/>
      </c>
      <c r="D72" s="1422"/>
      <c r="E72" s="1418"/>
      <c r="F72" s="1418"/>
      <c r="G72" s="1419"/>
      <c r="H72" s="133"/>
      <c r="I72" s="133"/>
      <c r="J72" s="1420"/>
      <c r="K72" s="1420"/>
      <c r="L72" s="1431"/>
      <c r="M72" s="92"/>
      <c r="N72" s="150"/>
      <c r="O72" s="2689"/>
      <c r="P72" s="2689"/>
      <c r="Q72" s="2689"/>
      <c r="R72" s="2689"/>
      <c r="S72" s="2689"/>
      <c r="T72" s="2689"/>
      <c r="U72" s="2689"/>
      <c r="V72" s="2689"/>
      <c r="W72" s="2689"/>
      <c r="X72" s="128"/>
      <c r="Y72" s="92"/>
    </row>
    <row r="73" spans="1:25" x14ac:dyDescent="0.25">
      <c r="A73" s="97"/>
      <c r="B73" s="1406"/>
      <c r="C73" s="133" t="str">
        <f>IF(J65="Yes","4.  The tenant has a balance that accrued during the winter moratorium that is more than 80 days past due.","")</f>
        <v/>
      </c>
      <c r="D73" s="1422"/>
      <c r="E73" s="1418"/>
      <c r="F73" s="1418"/>
      <c r="G73" s="1419"/>
      <c r="H73" s="133"/>
      <c r="I73" s="133"/>
      <c r="J73" s="1420"/>
      <c r="K73" s="1420"/>
      <c r="L73" s="1431"/>
      <c r="M73" s="92"/>
      <c r="N73" s="150"/>
      <c r="O73" s="2689"/>
      <c r="P73" s="2689"/>
      <c r="Q73" s="2689"/>
      <c r="R73" s="2689"/>
      <c r="S73" s="2689"/>
      <c r="T73" s="2689"/>
      <c r="U73" s="2689"/>
      <c r="V73" s="2689"/>
      <c r="W73" s="2689"/>
      <c r="X73" s="128"/>
      <c r="Y73" s="92"/>
    </row>
    <row r="74" spans="1:25" ht="15.75" customHeight="1" thickBot="1" x14ac:dyDescent="0.3">
      <c r="A74" s="97"/>
      <c r="B74" s="1423"/>
      <c r="C74" s="1424"/>
      <c r="D74" s="1424"/>
      <c r="E74" s="1425"/>
      <c r="F74" s="1425"/>
      <c r="G74" s="1426"/>
      <c r="H74" s="1424"/>
      <c r="I74" s="1424"/>
      <c r="J74" s="1427"/>
      <c r="K74" s="1427"/>
      <c r="L74" s="1429"/>
      <c r="M74" s="92"/>
      <c r="N74" s="150"/>
      <c r="O74" s="1669"/>
      <c r="P74" s="1669"/>
      <c r="Q74" s="1669"/>
      <c r="R74" s="1669"/>
      <c r="S74" s="1669"/>
      <c r="T74" s="1669"/>
      <c r="U74" s="1669"/>
      <c r="V74" s="1669"/>
      <c r="W74" s="1669"/>
      <c r="X74" s="128"/>
      <c r="Y74" s="92"/>
    </row>
    <row r="75" spans="1:25" ht="16.5" customHeight="1" thickTop="1" thickBot="1" x14ac:dyDescent="0.3">
      <c r="A75" s="92"/>
      <c r="B75" s="96"/>
      <c r="C75" s="142"/>
      <c r="D75" s="142"/>
      <c r="E75" s="98"/>
      <c r="F75" s="98"/>
      <c r="G75" s="99"/>
      <c r="H75" s="142"/>
      <c r="I75" s="142"/>
      <c r="J75" s="143"/>
      <c r="K75" s="143"/>
      <c r="L75" s="96"/>
      <c r="M75" s="92"/>
      <c r="N75" s="150"/>
      <c r="O75" s="2696" t="s">
        <v>1215</v>
      </c>
      <c r="P75" s="2696"/>
      <c r="Q75" s="2696"/>
      <c r="R75" s="2696"/>
      <c r="S75" s="2696"/>
      <c r="T75" s="2696"/>
      <c r="U75" s="2696"/>
      <c r="V75" s="2696"/>
      <c r="W75" s="2696"/>
      <c r="X75" s="1670"/>
      <c r="Y75" s="92"/>
    </row>
    <row r="76" spans="1:25" ht="15.75" customHeight="1" thickTop="1" x14ac:dyDescent="0.25">
      <c r="A76" s="92"/>
      <c r="B76" s="1530" t="s">
        <v>999</v>
      </c>
      <c r="C76" s="1414"/>
      <c r="D76" s="1414"/>
      <c r="E76" s="1415"/>
      <c r="F76" s="1415"/>
      <c r="G76" s="1416"/>
      <c r="H76" s="1414"/>
      <c r="I76" s="1414"/>
      <c r="J76" s="1417"/>
      <c r="K76" s="1417"/>
      <c r="L76" s="1428"/>
      <c r="M76" s="92"/>
      <c r="N76" s="150"/>
      <c r="O76" s="2697"/>
      <c r="P76" s="2697"/>
      <c r="Q76" s="2697"/>
      <c r="R76" s="2697"/>
      <c r="S76" s="2697"/>
      <c r="T76" s="2697"/>
      <c r="U76" s="2697"/>
      <c r="V76" s="2697"/>
      <c r="W76" s="2697"/>
      <c r="X76" s="1670"/>
      <c r="Y76" s="92"/>
    </row>
    <row r="77" spans="1:25" x14ac:dyDescent="0.25">
      <c r="A77" s="92"/>
      <c r="B77" s="1406"/>
      <c r="C77" s="133"/>
      <c r="D77" s="133"/>
      <c r="E77" s="1418"/>
      <c r="F77" s="1418"/>
      <c r="G77" s="1419"/>
      <c r="H77" s="133"/>
      <c r="I77" s="133"/>
      <c r="J77" s="1420"/>
      <c r="K77" s="1420"/>
      <c r="L77" s="1409"/>
      <c r="M77" s="92"/>
      <c r="N77" s="150"/>
      <c r="O77" s="2716"/>
      <c r="P77" s="2717"/>
      <c r="Q77" s="2717"/>
      <c r="R77" s="2717"/>
      <c r="S77" s="2717"/>
      <c r="T77" s="2717"/>
      <c r="U77" s="2717"/>
      <c r="V77" s="2717"/>
      <c r="W77" s="2718"/>
      <c r="X77" s="128"/>
      <c r="Y77" s="92"/>
    </row>
    <row r="78" spans="1:25" ht="15" customHeight="1" x14ac:dyDescent="0.25">
      <c r="A78" s="92"/>
      <c r="B78" s="1406"/>
      <c r="C78" s="2651" t="s">
        <v>998</v>
      </c>
      <c r="D78" s="2651"/>
      <c r="E78" s="2651"/>
      <c r="F78" s="2651"/>
      <c r="G78" s="2651"/>
      <c r="H78" s="2651"/>
      <c r="I78" s="2651"/>
      <c r="J78" s="2651"/>
      <c r="K78" s="2652"/>
      <c r="L78" s="1431" t="s">
        <v>963</v>
      </c>
      <c r="M78" s="92"/>
      <c r="N78" s="150"/>
      <c r="O78" s="2719"/>
      <c r="P78" s="2720"/>
      <c r="Q78" s="2720"/>
      <c r="R78" s="2720"/>
      <c r="S78" s="2720"/>
      <c r="T78" s="2720"/>
      <c r="U78" s="2720"/>
      <c r="V78" s="2720"/>
      <c r="W78" s="2721"/>
      <c r="X78" s="128"/>
      <c r="Y78" s="92"/>
    </row>
    <row r="79" spans="1:25" ht="15" customHeight="1" x14ac:dyDescent="0.25">
      <c r="A79" s="92"/>
      <c r="B79" s="1406"/>
      <c r="C79" s="1540"/>
      <c r="D79" s="1540" t="s">
        <v>1388</v>
      </c>
      <c r="E79" s="1540"/>
      <c r="F79" s="1540"/>
      <c r="G79" s="1540"/>
      <c r="H79" s="1540"/>
      <c r="I79" s="1540"/>
      <c r="J79" s="1540"/>
      <c r="K79" s="1540"/>
      <c r="L79" s="1543"/>
      <c r="M79" s="92"/>
      <c r="N79" s="150"/>
      <c r="O79" s="2719"/>
      <c r="P79" s="2720"/>
      <c r="Q79" s="2720"/>
      <c r="R79" s="2720"/>
      <c r="S79" s="2720"/>
      <c r="T79" s="2720"/>
      <c r="U79" s="2720"/>
      <c r="V79" s="2720"/>
      <c r="W79" s="2721"/>
      <c r="X79" s="128"/>
      <c r="Y79" s="92"/>
    </row>
    <row r="80" spans="1:25" ht="15" customHeight="1" x14ac:dyDescent="0.25">
      <c r="A80" s="92"/>
      <c r="B80" s="1406"/>
      <c r="C80" s="1540"/>
      <c r="D80" s="1542" t="s">
        <v>1017</v>
      </c>
      <c r="E80" s="1540"/>
      <c r="F80" s="1540"/>
      <c r="G80" s="1540"/>
      <c r="H80" s="1540"/>
      <c r="I80" s="1540"/>
      <c r="J80" s="1540"/>
      <c r="K80" s="1541"/>
      <c r="L80" s="1431"/>
      <c r="M80" s="92"/>
      <c r="N80" s="150"/>
      <c r="O80" s="2719"/>
      <c r="P80" s="2720"/>
      <c r="Q80" s="2720"/>
      <c r="R80" s="2720"/>
      <c r="S80" s="2720"/>
      <c r="T80" s="2720"/>
      <c r="U80" s="2720"/>
      <c r="V80" s="2720"/>
      <c r="W80" s="2721"/>
      <c r="X80" s="128"/>
      <c r="Y80" s="92"/>
    </row>
    <row r="81" spans="1:25" ht="15" customHeight="1" x14ac:dyDescent="0.25">
      <c r="A81" s="92"/>
      <c r="B81" s="1406"/>
      <c r="C81" s="1540"/>
      <c r="D81" s="1542" t="s">
        <v>1018</v>
      </c>
      <c r="E81" s="1540"/>
      <c r="F81" s="1540"/>
      <c r="G81" s="1540"/>
      <c r="H81" s="1540"/>
      <c r="I81" s="1540"/>
      <c r="J81" s="1540"/>
      <c r="K81" s="1541"/>
      <c r="L81" s="1544"/>
      <c r="M81" s="92"/>
      <c r="N81" s="150"/>
      <c r="O81" s="2719"/>
      <c r="P81" s="2720"/>
      <c r="Q81" s="2720"/>
      <c r="R81" s="2720"/>
      <c r="S81" s="2720"/>
      <c r="T81" s="2720"/>
      <c r="U81" s="2720"/>
      <c r="V81" s="2720"/>
      <c r="W81" s="2721"/>
      <c r="X81" s="128"/>
      <c r="Y81" s="92"/>
    </row>
    <row r="82" spans="1:25" ht="15" customHeight="1" x14ac:dyDescent="0.25">
      <c r="A82" s="92"/>
      <c r="B82" s="1406"/>
      <c r="C82" s="2651" t="s">
        <v>997</v>
      </c>
      <c r="D82" s="2651"/>
      <c r="E82" s="2651"/>
      <c r="F82" s="2651"/>
      <c r="G82" s="2651"/>
      <c r="H82" s="2651"/>
      <c r="I82" s="2651"/>
      <c r="J82" s="2651"/>
      <c r="K82" s="2652"/>
      <c r="L82" s="1431" t="s">
        <v>963</v>
      </c>
      <c r="M82" s="92"/>
      <c r="N82" s="150"/>
      <c r="O82" s="2722"/>
      <c r="P82" s="2723"/>
      <c r="Q82" s="2723"/>
      <c r="R82" s="2723"/>
      <c r="S82" s="2723"/>
      <c r="T82" s="2723"/>
      <c r="U82" s="2723"/>
      <c r="V82" s="2723"/>
      <c r="W82" s="2724"/>
      <c r="X82" s="128"/>
      <c r="Y82" s="92"/>
    </row>
    <row r="83" spans="1:25" ht="15" customHeight="1" x14ac:dyDescent="0.25">
      <c r="A83" s="92"/>
      <c r="B83" s="1406"/>
      <c r="C83" s="2234"/>
      <c r="D83" s="2234" t="s">
        <v>1387</v>
      </c>
      <c r="E83" s="2234"/>
      <c r="F83" s="2234"/>
      <c r="G83" s="2234"/>
      <c r="H83" s="2234"/>
      <c r="I83" s="2234"/>
      <c r="J83" s="2234"/>
      <c r="K83" s="2234"/>
      <c r="L83" s="2237"/>
      <c r="M83" s="92"/>
      <c r="N83" s="150"/>
      <c r="O83" s="1642"/>
      <c r="P83" s="101"/>
      <c r="Q83" s="101"/>
      <c r="R83" s="101"/>
      <c r="S83" s="101"/>
      <c r="T83" s="1440"/>
      <c r="U83" s="101"/>
      <c r="V83" s="101"/>
      <c r="W83" s="101"/>
      <c r="X83" s="128"/>
      <c r="Y83" s="92"/>
    </row>
    <row r="84" spans="1:25" ht="15" customHeight="1" x14ac:dyDescent="0.25">
      <c r="A84" s="92"/>
      <c r="B84" s="1406"/>
      <c r="C84" s="2234"/>
      <c r="D84" s="2235" t="s">
        <v>1389</v>
      </c>
      <c r="E84" s="2234"/>
      <c r="F84" s="2234"/>
      <c r="G84" s="2234"/>
      <c r="H84" s="2234"/>
      <c r="I84" s="2234"/>
      <c r="J84" s="2234"/>
      <c r="K84" s="2234"/>
      <c r="L84" s="1431"/>
      <c r="M84" s="92"/>
      <c r="N84" s="150"/>
      <c r="O84" s="1642" t="s">
        <v>1096</v>
      </c>
      <c r="P84" s="101"/>
      <c r="Q84" s="101"/>
      <c r="R84" s="101"/>
      <c r="S84" s="101"/>
      <c r="T84" s="1642" t="s">
        <v>1214</v>
      </c>
      <c r="U84" s="101"/>
      <c r="V84" s="101"/>
      <c r="W84" s="101"/>
      <c r="X84" s="128"/>
      <c r="Y84" s="92"/>
    </row>
    <row r="85" spans="1:25" ht="15" customHeight="1" thickBot="1" x14ac:dyDescent="0.3">
      <c r="A85" s="92"/>
      <c r="B85" s="1423"/>
      <c r="C85" s="1424"/>
      <c r="D85" s="2236" t="s">
        <v>1390</v>
      </c>
      <c r="E85" s="1425"/>
      <c r="F85" s="1425"/>
      <c r="G85" s="1426"/>
      <c r="H85" s="1424"/>
      <c r="I85" s="1424"/>
      <c r="J85" s="1427"/>
      <c r="K85" s="1427"/>
      <c r="L85" s="2238"/>
      <c r="M85" s="92"/>
      <c r="N85" s="150"/>
      <c r="O85" s="1640" t="s">
        <v>1093</v>
      </c>
      <c r="P85" s="1641"/>
      <c r="Q85" s="1641"/>
      <c r="R85" s="1641"/>
      <c r="S85" s="101"/>
      <c r="T85" s="2736"/>
      <c r="U85" s="2736"/>
      <c r="V85" s="2736"/>
      <c r="W85" s="2736"/>
      <c r="X85" s="128"/>
      <c r="Y85" s="92"/>
    </row>
    <row r="86" spans="1:25" ht="15" thickTop="1" thickBot="1" x14ac:dyDescent="0.3">
      <c r="A86" s="92"/>
      <c r="B86" s="1412"/>
      <c r="C86" s="1435"/>
      <c r="D86" s="1435"/>
      <c r="E86" s="1437"/>
      <c r="F86" s="1437"/>
      <c r="G86" s="1436"/>
      <c r="H86" s="1435"/>
      <c r="I86" s="1435"/>
      <c r="J86" s="1434"/>
      <c r="K86" s="1434"/>
      <c r="L86" s="1412"/>
      <c r="M86" s="92"/>
      <c r="N86" s="129"/>
      <c r="O86" s="603" t="s">
        <v>1098</v>
      </c>
      <c r="P86" s="1641"/>
      <c r="Q86" s="1641"/>
      <c r="R86" s="1641"/>
      <c r="S86" s="101"/>
      <c r="T86" s="2736"/>
      <c r="U86" s="2736"/>
      <c r="V86" s="2736"/>
      <c r="W86" s="2736"/>
      <c r="X86" s="128"/>
      <c r="Y86" s="92"/>
    </row>
    <row r="87" spans="1:25" ht="14.4" thickTop="1" x14ac:dyDescent="0.25">
      <c r="A87" s="96"/>
      <c r="B87" s="1529" t="s">
        <v>833</v>
      </c>
      <c r="C87" s="160"/>
      <c r="D87" s="160"/>
      <c r="E87" s="161"/>
      <c r="F87" s="161"/>
      <c r="G87" s="162"/>
      <c r="H87" s="160"/>
      <c r="I87" s="160"/>
      <c r="J87" s="163"/>
      <c r="K87" s="163"/>
      <c r="L87" s="126"/>
      <c r="M87" s="96"/>
      <c r="N87" s="129"/>
      <c r="O87" s="603" t="s">
        <v>1099</v>
      </c>
      <c r="P87" s="1639"/>
      <c r="Q87" s="1639"/>
      <c r="R87" s="1639"/>
      <c r="S87" s="101"/>
      <c r="T87" s="2736"/>
      <c r="U87" s="2736"/>
      <c r="V87" s="2736"/>
      <c r="W87" s="2736"/>
      <c r="X87" s="128"/>
      <c r="Y87" s="92"/>
    </row>
    <row r="88" spans="1:25" ht="13.8" thickBot="1" x14ac:dyDescent="0.3">
      <c r="A88" s="96"/>
      <c r="B88" s="129"/>
      <c r="C88" s="119"/>
      <c r="D88" s="119"/>
      <c r="E88" s="123"/>
      <c r="F88" s="123"/>
      <c r="G88" s="113"/>
      <c r="H88" s="119"/>
      <c r="I88" s="119"/>
      <c r="J88" s="114"/>
      <c r="K88" s="114"/>
      <c r="L88" s="128"/>
      <c r="M88" s="96"/>
      <c r="N88" s="137"/>
      <c r="O88" s="152"/>
      <c r="P88" s="152"/>
      <c r="Q88" s="152"/>
      <c r="R88" s="152"/>
      <c r="S88" s="152"/>
      <c r="T88" s="152"/>
      <c r="U88" s="152"/>
      <c r="V88" s="152"/>
      <c r="W88" s="152"/>
      <c r="X88" s="139"/>
      <c r="Y88" s="92"/>
    </row>
    <row r="89" spans="1:25" ht="17.25" customHeight="1" thickTop="1" x14ac:dyDescent="0.25">
      <c r="A89" s="96"/>
      <c r="B89" s="129"/>
      <c r="C89" s="119" t="s">
        <v>834</v>
      </c>
      <c r="D89" s="114"/>
      <c r="E89" s="114"/>
      <c r="F89" s="114"/>
      <c r="G89" s="114"/>
      <c r="H89" s="114"/>
      <c r="I89" s="114"/>
      <c r="J89" s="114"/>
      <c r="K89" s="114"/>
      <c r="L89" s="128"/>
      <c r="M89" s="96"/>
      <c r="N89" s="92"/>
      <c r="O89" s="92"/>
      <c r="P89" s="92"/>
      <c r="Q89" s="92"/>
      <c r="R89" s="92"/>
      <c r="S89" s="92"/>
      <c r="T89" s="92"/>
      <c r="U89" s="92"/>
      <c r="V89" s="92"/>
      <c r="W89" s="92"/>
      <c r="X89" s="92"/>
      <c r="Y89" s="92"/>
    </row>
    <row r="90" spans="1:25" x14ac:dyDescent="0.25">
      <c r="A90" s="100"/>
      <c r="B90" s="131"/>
      <c r="C90" s="117" t="s">
        <v>879</v>
      </c>
      <c r="D90" s="101"/>
      <c r="E90" s="114"/>
      <c r="F90" s="2737" t="s">
        <v>1512</v>
      </c>
      <c r="G90" s="2737"/>
      <c r="H90" s="2737"/>
      <c r="I90" s="114"/>
      <c r="J90" s="114"/>
      <c r="K90" s="114"/>
      <c r="L90" s="128"/>
      <c r="M90" s="96"/>
      <c r="N90" s="92"/>
      <c r="O90" s="2239"/>
      <c r="P90" s="2239"/>
      <c r="Q90" s="2239"/>
      <c r="R90" s="2239"/>
      <c r="S90" s="2239"/>
      <c r="T90" s="2239"/>
      <c r="U90" s="2239"/>
      <c r="V90" s="2239"/>
      <c r="W90" s="2239"/>
      <c r="X90" s="2239"/>
      <c r="Y90" s="2239"/>
    </row>
    <row r="91" spans="1:25" x14ac:dyDescent="0.25">
      <c r="A91" s="100"/>
      <c r="B91" s="131"/>
      <c r="C91" s="117" t="s">
        <v>815</v>
      </c>
      <c r="D91" s="101"/>
      <c r="E91" s="1177"/>
      <c r="F91" s="2653" t="s">
        <v>1512</v>
      </c>
      <c r="G91" s="2654"/>
      <c r="H91" s="2655"/>
      <c r="I91" s="1177"/>
      <c r="J91" s="1177"/>
      <c r="K91" s="1177"/>
      <c r="L91" s="128"/>
      <c r="M91" s="96"/>
      <c r="N91" s="92"/>
      <c r="O91" s="1942"/>
    </row>
    <row r="92" spans="1:25" ht="13.2" customHeight="1" x14ac:dyDescent="0.25">
      <c r="A92" s="96"/>
      <c r="B92" s="129"/>
      <c r="C92" s="134" t="s">
        <v>835</v>
      </c>
      <c r="D92" s="114"/>
      <c r="E92" s="114"/>
      <c r="F92" s="2737" t="s">
        <v>1512</v>
      </c>
      <c r="G92" s="2737"/>
      <c r="H92" s="2737"/>
      <c r="I92" s="114"/>
      <c r="J92" s="114"/>
      <c r="K92" s="114"/>
      <c r="L92" s="128"/>
      <c r="M92" s="96"/>
      <c r="N92" s="92"/>
      <c r="O92" s="1942"/>
    </row>
    <row r="93" spans="1:25" ht="13.2" customHeight="1" x14ac:dyDescent="0.25">
      <c r="A93" s="96"/>
      <c r="B93" s="129"/>
      <c r="C93" s="1390"/>
      <c r="D93" s="1390"/>
      <c r="E93" s="1390"/>
      <c r="F93" s="101"/>
      <c r="G93" s="101"/>
      <c r="H93" s="101"/>
      <c r="I93" s="101"/>
      <c r="J93" s="101"/>
      <c r="K93" s="101"/>
      <c r="L93" s="128"/>
      <c r="M93" s="92"/>
      <c r="N93" s="92"/>
      <c r="O93" s="1942"/>
    </row>
    <row r="94" spans="1:25" s="1395" customFormat="1" ht="17.25" customHeight="1" x14ac:dyDescent="0.25">
      <c r="A94" s="1391"/>
      <c r="B94" s="1392"/>
      <c r="C94" s="2651" t="s">
        <v>985</v>
      </c>
      <c r="D94" s="2651"/>
      <c r="E94" s="2651"/>
      <c r="F94" s="2651"/>
      <c r="G94" s="2651"/>
      <c r="H94" s="2651"/>
      <c r="I94" s="2651"/>
      <c r="J94" s="2651"/>
      <c r="K94" s="2651"/>
      <c r="L94" s="1393"/>
      <c r="M94" s="1394"/>
      <c r="N94" s="1394"/>
      <c r="O94" s="1942"/>
      <c r="P94" s="1126"/>
      <c r="Q94" s="1126"/>
      <c r="R94" s="1126"/>
      <c r="S94" s="45"/>
      <c r="T94" s="45"/>
      <c r="U94" s="45"/>
      <c r="V94" s="45"/>
      <c r="W94" s="45"/>
      <c r="X94" s="45"/>
    </row>
    <row r="95" spans="1:25" ht="12.75" customHeight="1" x14ac:dyDescent="0.25">
      <c r="A95" s="96"/>
      <c r="B95" s="164"/>
      <c r="C95" s="1396" t="s">
        <v>984</v>
      </c>
      <c r="D95" s="114"/>
      <c r="E95" s="114"/>
      <c r="F95" s="1526" t="s">
        <v>963</v>
      </c>
      <c r="G95" s="1389"/>
      <c r="H95" s="113"/>
      <c r="I95" s="1390"/>
      <c r="J95" s="1390"/>
      <c r="K95" s="1390"/>
      <c r="L95" s="128"/>
      <c r="M95" s="96"/>
      <c r="N95" s="92"/>
      <c r="O95" s="1942"/>
    </row>
    <row r="96" spans="1:25" ht="12.75" customHeight="1" x14ac:dyDescent="0.25">
      <c r="A96" s="96"/>
      <c r="B96" s="164"/>
      <c r="C96" s="1396" t="s">
        <v>986</v>
      </c>
      <c r="D96" s="1390"/>
      <c r="E96" s="1390"/>
      <c r="F96" s="1526" t="s">
        <v>1088</v>
      </c>
      <c r="G96" s="1389"/>
      <c r="H96" s="113"/>
      <c r="I96" s="1390"/>
      <c r="J96" s="1390"/>
      <c r="K96" s="1390"/>
      <c r="L96" s="128"/>
      <c r="M96" s="96"/>
      <c r="N96" s="92"/>
      <c r="O96" s="1942"/>
    </row>
    <row r="97" spans="1:24" ht="12.75" customHeight="1" x14ac:dyDescent="0.25">
      <c r="A97" s="96"/>
      <c r="B97" s="164"/>
      <c r="C97" s="134"/>
      <c r="D97" s="1390"/>
      <c r="E97" s="1390"/>
      <c r="F97" s="1389"/>
      <c r="G97" s="113"/>
      <c r="H97" s="1390"/>
      <c r="I97" s="1390"/>
      <c r="J97" s="1390"/>
      <c r="K97" s="101"/>
      <c r="L97" s="128"/>
      <c r="M97" s="92"/>
      <c r="N97" s="92"/>
      <c r="O97" s="1942"/>
    </row>
    <row r="98" spans="1:24" ht="12.75" customHeight="1" x14ac:dyDescent="0.25">
      <c r="A98" s="96"/>
      <c r="B98" s="164"/>
      <c r="C98" s="115" t="s">
        <v>896</v>
      </c>
      <c r="D98" s="1188"/>
      <c r="E98" s="1188"/>
      <c r="F98" s="1188"/>
      <c r="G98" s="1188"/>
      <c r="H98" s="113"/>
      <c r="I98" s="1526" t="s">
        <v>963</v>
      </c>
      <c r="J98" s="1390"/>
      <c r="K98" s="101"/>
      <c r="L98" s="128"/>
      <c r="M98" s="92"/>
      <c r="N98" s="92"/>
      <c r="O98" s="1942"/>
    </row>
    <row r="99" spans="1:24" ht="12.75" customHeight="1" x14ac:dyDescent="0.25">
      <c r="A99" s="96"/>
      <c r="B99" s="164"/>
      <c r="C99" s="134"/>
      <c r="D99" s="1390"/>
      <c r="E99" s="1390"/>
      <c r="F99" s="1389"/>
      <c r="G99" s="113"/>
      <c r="H99" s="1390"/>
      <c r="I99" s="1390"/>
      <c r="J99" s="1390"/>
      <c r="K99" s="101"/>
      <c r="L99" s="128"/>
      <c r="M99" s="92"/>
      <c r="N99" s="92"/>
      <c r="O99" s="1942"/>
      <c r="X99" s="1395"/>
    </row>
    <row r="100" spans="1:24" s="1404" customFormat="1" ht="24.75" customHeight="1" x14ac:dyDescent="0.25">
      <c r="A100" s="1399"/>
      <c r="B100" s="1400"/>
      <c r="C100" s="2663" t="s">
        <v>987</v>
      </c>
      <c r="D100" s="2663"/>
      <c r="E100" s="2663"/>
      <c r="F100" s="2663"/>
      <c r="G100" s="2663"/>
      <c r="H100" s="2663"/>
      <c r="I100" s="2663"/>
      <c r="J100" s="2663"/>
      <c r="K100" s="2663"/>
      <c r="L100" s="1401"/>
      <c r="M100" s="1402"/>
      <c r="N100" s="1402"/>
      <c r="O100" s="1942"/>
      <c r="P100" s="45"/>
      <c r="Q100" s="45"/>
      <c r="R100" s="45"/>
      <c r="S100" s="45"/>
      <c r="T100" s="45"/>
      <c r="U100" s="45"/>
      <c r="V100" s="45"/>
      <c r="W100" s="45"/>
      <c r="X100" s="45"/>
    </row>
    <row r="101" spans="1:24" s="1404" customFormat="1" ht="14.25" customHeight="1" x14ac:dyDescent="0.25">
      <c r="A101" s="1399"/>
      <c r="B101" s="1400"/>
      <c r="C101" s="2656" t="s">
        <v>988</v>
      </c>
      <c r="D101" s="2656"/>
      <c r="E101" s="2656"/>
      <c r="F101" s="2656"/>
      <c r="G101" s="2656"/>
      <c r="H101" s="2656"/>
      <c r="I101" s="2656"/>
      <c r="J101" s="2656"/>
      <c r="K101" s="2656"/>
      <c r="L101" s="1401"/>
      <c r="M101" s="1402"/>
      <c r="N101" s="1402"/>
      <c r="O101" s="1943"/>
      <c r="P101" s="1395"/>
      <c r="Q101" s="1395"/>
      <c r="R101" s="1395"/>
      <c r="S101" s="1395"/>
      <c r="T101" s="1395"/>
      <c r="U101" s="1395"/>
      <c r="V101" s="1395"/>
      <c r="W101" s="1395"/>
      <c r="X101" s="45"/>
    </row>
    <row r="102" spans="1:24" s="1404" customFormat="1" ht="14.25" customHeight="1" x14ac:dyDescent="0.25">
      <c r="A102" s="1399"/>
      <c r="B102" s="1400"/>
      <c r="C102" s="2656"/>
      <c r="D102" s="2656"/>
      <c r="E102" s="2656"/>
      <c r="F102" s="2656"/>
      <c r="G102" s="2656"/>
      <c r="H102" s="2656"/>
      <c r="I102" s="2656"/>
      <c r="J102" s="2656"/>
      <c r="K102" s="2656"/>
      <c r="L102" s="1401"/>
      <c r="M102" s="1402"/>
      <c r="N102" s="1402"/>
      <c r="O102" s="1942"/>
      <c r="P102" s="1126"/>
      <c r="Q102" s="1126"/>
      <c r="R102" s="1126"/>
      <c r="S102" s="45"/>
      <c r="T102" s="45"/>
      <c r="U102" s="45"/>
      <c r="V102" s="45"/>
      <c r="W102" s="45"/>
      <c r="X102" s="45"/>
    </row>
    <row r="103" spans="1:24" s="1404" customFormat="1" ht="14.25" customHeight="1" x14ac:dyDescent="0.25">
      <c r="A103" s="1399"/>
      <c r="B103" s="1400"/>
      <c r="C103" s="2656"/>
      <c r="D103" s="2656"/>
      <c r="E103" s="2656"/>
      <c r="F103" s="2656"/>
      <c r="G103" s="2656"/>
      <c r="H103" s="2656"/>
      <c r="I103" s="2656"/>
      <c r="J103" s="2656"/>
      <c r="K103" s="2656"/>
      <c r="L103" s="1401"/>
      <c r="M103" s="1402"/>
      <c r="N103" s="1402"/>
      <c r="O103" s="1942"/>
      <c r="P103" s="1126"/>
      <c r="Q103" s="1126"/>
      <c r="R103" s="1126"/>
      <c r="S103" s="45"/>
      <c r="T103" s="45"/>
      <c r="U103" s="45"/>
      <c r="V103" s="45"/>
      <c r="W103" s="45"/>
      <c r="X103" s="45"/>
    </row>
    <row r="104" spans="1:24" s="1404" customFormat="1" ht="14.25" customHeight="1" x14ac:dyDescent="0.25">
      <c r="A104" s="1399"/>
      <c r="B104" s="1400"/>
      <c r="C104" s="2656"/>
      <c r="D104" s="2656"/>
      <c r="E104" s="2656"/>
      <c r="F104" s="2656"/>
      <c r="G104" s="2656"/>
      <c r="H104" s="2656"/>
      <c r="I104" s="2656"/>
      <c r="J104" s="2656"/>
      <c r="K104" s="2656"/>
      <c r="L104" s="1401"/>
      <c r="M104" s="1402"/>
      <c r="N104" s="1402"/>
      <c r="O104" s="1942"/>
      <c r="P104" s="1126"/>
      <c r="Q104" s="1126"/>
      <c r="R104" s="45"/>
      <c r="S104" s="45"/>
      <c r="T104" s="45"/>
      <c r="U104" s="45"/>
      <c r="V104" s="45"/>
      <c r="W104" s="45"/>
      <c r="X104" s="45"/>
    </row>
    <row r="105" spans="1:24" s="1404" customFormat="1" ht="14.25" customHeight="1" x14ac:dyDescent="0.25">
      <c r="A105" s="1399"/>
      <c r="B105" s="1400"/>
      <c r="C105" s="2656"/>
      <c r="D105" s="2656"/>
      <c r="E105" s="2656"/>
      <c r="F105" s="2656"/>
      <c r="G105" s="2656"/>
      <c r="H105" s="2656"/>
      <c r="I105" s="2656"/>
      <c r="J105" s="2656"/>
      <c r="K105" s="2656"/>
      <c r="L105" s="1401"/>
      <c r="M105" s="1402"/>
      <c r="N105" s="1402"/>
      <c r="O105" s="1942"/>
      <c r="P105" s="1126"/>
      <c r="Q105" s="1126"/>
      <c r="R105" s="45"/>
      <c r="S105" s="45"/>
      <c r="T105" s="45"/>
      <c r="U105" s="45"/>
      <c r="V105" s="45"/>
      <c r="W105" s="45"/>
    </row>
    <row r="106" spans="1:24" s="1404" customFormat="1" ht="14.25" customHeight="1" x14ac:dyDescent="0.25">
      <c r="A106" s="1399"/>
      <c r="B106" s="1400"/>
      <c r="C106" s="2656"/>
      <c r="D106" s="2656"/>
      <c r="E106" s="2656"/>
      <c r="F106" s="2656"/>
      <c r="G106" s="2656"/>
      <c r="H106" s="2656"/>
      <c r="I106" s="2656"/>
      <c r="J106" s="2656"/>
      <c r="K106" s="2656"/>
      <c r="L106" s="1401"/>
      <c r="M106" s="1402"/>
      <c r="N106" s="1402"/>
      <c r="O106" s="1942"/>
      <c r="P106" s="1126"/>
      <c r="Q106" s="1126"/>
      <c r="R106" s="45"/>
      <c r="S106" s="45"/>
      <c r="T106" s="45"/>
      <c r="U106" s="45"/>
      <c r="V106" s="45"/>
      <c r="W106" s="45"/>
    </row>
    <row r="107" spans="1:24" s="1404" customFormat="1" x14ac:dyDescent="0.3">
      <c r="A107" s="1399"/>
      <c r="B107" s="1400"/>
      <c r="C107" s="2656"/>
      <c r="D107" s="2656"/>
      <c r="E107" s="2656"/>
      <c r="F107" s="2656"/>
      <c r="G107" s="2656"/>
      <c r="H107" s="2656"/>
      <c r="I107" s="2656"/>
      <c r="J107" s="2656"/>
      <c r="K107" s="2656"/>
      <c r="L107" s="1401"/>
      <c r="M107" s="1402"/>
      <c r="N107" s="1402"/>
      <c r="O107" s="1944"/>
      <c r="P107" s="1403"/>
      <c r="Q107" s="1403"/>
    </row>
    <row r="108" spans="1:24" s="1404" customFormat="1" x14ac:dyDescent="0.3">
      <c r="A108" s="1399"/>
      <c r="B108" s="1400"/>
      <c r="C108" s="2656" t="s">
        <v>989</v>
      </c>
      <c r="D108" s="2656"/>
      <c r="E108" s="2656"/>
      <c r="F108" s="2656"/>
      <c r="G108" s="2656"/>
      <c r="H108" s="2656"/>
      <c r="I108" s="2656"/>
      <c r="J108" s="2656"/>
      <c r="K108" s="2656"/>
      <c r="L108" s="1401"/>
      <c r="M108" s="1402"/>
      <c r="N108" s="1402"/>
      <c r="O108" s="1944"/>
      <c r="P108" s="1403"/>
      <c r="Q108" s="1403"/>
    </row>
    <row r="109" spans="1:24" s="1404" customFormat="1" ht="14.25" customHeight="1" x14ac:dyDescent="0.3">
      <c r="A109" s="1399"/>
      <c r="B109" s="1400"/>
      <c r="C109" s="1397"/>
      <c r="D109" s="1433"/>
      <c r="E109" s="1433"/>
      <c r="F109" s="1433"/>
      <c r="G109" s="1433"/>
      <c r="H109" s="1433"/>
      <c r="I109" s="1433"/>
      <c r="J109" s="1433"/>
      <c r="K109" s="1433"/>
      <c r="L109" s="1401"/>
      <c r="M109" s="1402"/>
      <c r="N109" s="1402"/>
      <c r="O109" s="1944"/>
      <c r="P109" s="1403"/>
      <c r="Q109" s="1403"/>
    </row>
    <row r="110" spans="1:24" s="1404" customFormat="1" ht="25.5" customHeight="1" x14ac:dyDescent="0.3">
      <c r="A110" s="1399"/>
      <c r="B110" s="1400"/>
      <c r="C110" s="2656" t="s">
        <v>990</v>
      </c>
      <c r="D110" s="2656"/>
      <c r="E110" s="2656"/>
      <c r="F110" s="2656"/>
      <c r="G110" s="2656"/>
      <c r="H110" s="2656"/>
      <c r="I110" s="2656"/>
      <c r="J110" s="2656"/>
      <c r="K110" s="2656"/>
      <c r="L110" s="1401"/>
      <c r="M110" s="1402"/>
      <c r="N110" s="1402"/>
      <c r="O110" s="1944"/>
      <c r="P110" s="1403"/>
      <c r="Q110" s="1403"/>
    </row>
    <row r="111" spans="1:24" s="1404" customFormat="1" ht="14.25" customHeight="1" x14ac:dyDescent="0.3">
      <c r="A111" s="1399"/>
      <c r="B111" s="1400"/>
      <c r="C111" s="1397"/>
      <c r="D111" s="1433"/>
      <c r="E111" s="1433"/>
      <c r="F111" s="1433"/>
      <c r="G111" s="1433"/>
      <c r="H111" s="1433"/>
      <c r="I111" s="1433"/>
      <c r="J111" s="1433"/>
      <c r="K111" s="1433"/>
      <c r="L111" s="1401"/>
      <c r="M111" s="1402"/>
      <c r="N111" s="1402"/>
      <c r="O111" s="1944"/>
      <c r="P111" s="1403"/>
      <c r="Q111" s="1403"/>
    </row>
    <row r="112" spans="1:24" s="1404" customFormat="1" ht="38.25" customHeight="1" x14ac:dyDescent="0.3">
      <c r="A112" s="1399"/>
      <c r="B112" s="1400"/>
      <c r="C112" s="2656" t="s">
        <v>991</v>
      </c>
      <c r="D112" s="2656"/>
      <c r="E112" s="2656"/>
      <c r="F112" s="2656"/>
      <c r="G112" s="2656"/>
      <c r="H112" s="2656"/>
      <c r="I112" s="2656"/>
      <c r="J112" s="2656"/>
      <c r="K112" s="2656"/>
      <c r="L112" s="1401"/>
      <c r="M112" s="1402"/>
      <c r="N112" s="1402"/>
      <c r="O112" s="1944"/>
      <c r="P112" s="1403"/>
      <c r="Q112" s="1403"/>
    </row>
    <row r="113" spans="1:24" s="1404" customFormat="1" ht="14.25" customHeight="1" x14ac:dyDescent="0.3">
      <c r="A113" s="1399"/>
      <c r="B113" s="1400"/>
      <c r="C113" s="1397"/>
      <c r="D113" s="1398"/>
      <c r="E113" s="1398"/>
      <c r="F113" s="1398"/>
      <c r="G113" s="1398"/>
      <c r="H113" s="1398"/>
      <c r="I113" s="1398"/>
      <c r="J113" s="1398"/>
      <c r="K113" s="1398"/>
      <c r="L113" s="1401"/>
      <c r="M113" s="1402"/>
      <c r="N113" s="1402"/>
      <c r="O113" s="1944"/>
      <c r="P113" s="1403"/>
      <c r="Q113" s="1403"/>
    </row>
    <row r="114" spans="1:24" s="1404" customFormat="1" ht="51" customHeight="1" x14ac:dyDescent="0.3">
      <c r="A114" s="1399"/>
      <c r="B114" s="1400"/>
      <c r="C114" s="2656" t="s">
        <v>992</v>
      </c>
      <c r="D114" s="2656"/>
      <c r="E114" s="2656"/>
      <c r="F114" s="2656"/>
      <c r="G114" s="2656"/>
      <c r="H114" s="2656"/>
      <c r="I114" s="2656"/>
      <c r="J114" s="2656"/>
      <c r="K114" s="2656"/>
      <c r="L114" s="1401"/>
      <c r="M114" s="1402"/>
      <c r="N114" s="1402"/>
      <c r="O114" s="1944"/>
      <c r="P114" s="1403"/>
      <c r="Q114" s="1403"/>
    </row>
    <row r="115" spans="1:24" s="1404" customFormat="1" ht="9.75" customHeight="1" x14ac:dyDescent="0.3">
      <c r="A115" s="1399"/>
      <c r="B115" s="1400"/>
      <c r="C115" s="1397"/>
      <c r="D115" s="1433"/>
      <c r="E115" s="1433"/>
      <c r="F115" s="1433"/>
      <c r="G115" s="1433"/>
      <c r="H115" s="1433"/>
      <c r="I115" s="1433"/>
      <c r="J115" s="1433"/>
      <c r="K115" s="1433"/>
      <c r="L115" s="1401"/>
      <c r="M115" s="1402"/>
      <c r="N115" s="1402"/>
      <c r="O115" s="1944"/>
      <c r="P115" s="1403"/>
      <c r="Q115" s="1403"/>
    </row>
    <row r="116" spans="1:24" s="1395" customFormat="1" ht="18" customHeight="1" x14ac:dyDescent="0.3">
      <c r="A116" s="1391"/>
      <c r="B116" s="2713" t="s">
        <v>1100</v>
      </c>
      <c r="C116" s="2714"/>
      <c r="D116" s="2714"/>
      <c r="E116" s="2714"/>
      <c r="F116" s="2714"/>
      <c r="G116" s="2714"/>
      <c r="H116" s="2714"/>
      <c r="I116" s="2714"/>
      <c r="J116" s="2714"/>
      <c r="K116" s="2714"/>
      <c r="L116" s="2715"/>
      <c r="M116" s="1391"/>
      <c r="N116" s="1394"/>
      <c r="O116" s="1944"/>
      <c r="P116" s="1403"/>
      <c r="Q116" s="1403"/>
      <c r="R116" s="1404"/>
      <c r="S116" s="1404"/>
      <c r="T116" s="1404"/>
      <c r="U116" s="1404"/>
      <c r="V116" s="1404"/>
      <c r="W116" s="1404"/>
      <c r="X116" s="1404"/>
    </row>
    <row r="117" spans="1:24" s="1395" customFormat="1" ht="9.75" customHeight="1" x14ac:dyDescent="0.3">
      <c r="A117" s="1391"/>
      <c r="B117" s="2713"/>
      <c r="C117" s="2714"/>
      <c r="D117" s="2714"/>
      <c r="E117" s="2714"/>
      <c r="F117" s="2714"/>
      <c r="G117" s="2714"/>
      <c r="H117" s="2714"/>
      <c r="I117" s="2714"/>
      <c r="J117" s="2714"/>
      <c r="K117" s="2714"/>
      <c r="L117" s="2715"/>
      <c r="M117" s="1391"/>
      <c r="N117" s="1394"/>
      <c r="O117" s="1944"/>
      <c r="P117" s="1403"/>
      <c r="Q117" s="1403"/>
      <c r="R117" s="1404"/>
      <c r="S117" s="1404"/>
      <c r="T117" s="1404"/>
      <c r="U117" s="1404"/>
      <c r="V117" s="1404"/>
      <c r="W117" s="1404"/>
      <c r="X117" s="1404"/>
    </row>
    <row r="118" spans="1:24" ht="11.25" customHeight="1" x14ac:dyDescent="0.25">
      <c r="A118" s="155"/>
      <c r="B118" s="165"/>
      <c r="C118" s="2704" t="s">
        <v>1528</v>
      </c>
      <c r="D118" s="2705"/>
      <c r="E118" s="2705"/>
      <c r="F118" s="2705"/>
      <c r="G118" s="2705"/>
      <c r="H118" s="2705"/>
      <c r="I118" s="2705"/>
      <c r="J118" s="2705"/>
      <c r="K118" s="2706"/>
      <c r="L118" s="128"/>
      <c r="M118" s="96"/>
      <c r="N118" s="92"/>
      <c r="O118" s="1944"/>
      <c r="P118" s="1403"/>
      <c r="Q118" s="1403"/>
      <c r="R118" s="1404"/>
      <c r="S118" s="1404"/>
      <c r="T118" s="1404"/>
      <c r="U118" s="1404"/>
      <c r="V118" s="1404"/>
      <c r="W118" s="1404"/>
      <c r="X118" s="1404"/>
    </row>
    <row r="119" spans="1:24" ht="97.5" customHeight="1" x14ac:dyDescent="0.25">
      <c r="A119" s="156"/>
      <c r="B119" s="166"/>
      <c r="C119" s="2707"/>
      <c r="D119" s="2708"/>
      <c r="E119" s="2708"/>
      <c r="F119" s="2708"/>
      <c r="G119" s="2708"/>
      <c r="H119" s="2708"/>
      <c r="I119" s="2708"/>
      <c r="J119" s="2708"/>
      <c r="K119" s="2709"/>
      <c r="L119" s="128"/>
      <c r="M119" s="96"/>
      <c r="N119" s="92"/>
      <c r="O119" s="1944"/>
      <c r="P119" s="1403"/>
      <c r="Q119" s="1403"/>
      <c r="R119" s="1404"/>
      <c r="S119" s="1404"/>
      <c r="T119" s="1404"/>
      <c r="U119" s="1404"/>
      <c r="V119" s="1404"/>
      <c r="W119" s="1404"/>
      <c r="X119" s="1404"/>
    </row>
    <row r="120" spans="1:24" ht="11.25" customHeight="1" x14ac:dyDescent="0.25">
      <c r="A120" s="91"/>
      <c r="B120" s="167"/>
      <c r="C120" s="2710"/>
      <c r="D120" s="2711"/>
      <c r="E120" s="2711"/>
      <c r="F120" s="2711"/>
      <c r="G120" s="2711"/>
      <c r="H120" s="2711"/>
      <c r="I120" s="2711"/>
      <c r="J120" s="2711"/>
      <c r="K120" s="2712"/>
      <c r="L120" s="128"/>
      <c r="M120" s="96"/>
      <c r="N120" s="92"/>
      <c r="O120" s="1944"/>
      <c r="P120" s="1403"/>
      <c r="Q120" s="1403"/>
      <c r="R120" s="1404"/>
      <c r="S120" s="1404"/>
      <c r="T120" s="1404"/>
      <c r="U120" s="1404"/>
      <c r="V120" s="1404"/>
      <c r="W120" s="1404"/>
      <c r="X120" s="1404"/>
    </row>
    <row r="121" spans="1:24" ht="9.75" customHeight="1" x14ac:dyDescent="0.25">
      <c r="A121" s="92"/>
      <c r="B121" s="129"/>
      <c r="C121" s="106"/>
      <c r="D121" s="114"/>
      <c r="E121" s="114"/>
      <c r="F121" s="114"/>
      <c r="G121" s="114"/>
      <c r="H121" s="114"/>
      <c r="I121" s="114"/>
      <c r="J121" s="114"/>
      <c r="K121" s="114"/>
      <c r="L121" s="128"/>
      <c r="M121" s="92"/>
      <c r="N121" s="92"/>
      <c r="O121" s="1944"/>
      <c r="P121" s="1403"/>
      <c r="Q121" s="1403"/>
      <c r="R121" s="1404"/>
      <c r="S121" s="1404"/>
      <c r="T121" s="1404"/>
      <c r="U121" s="1404"/>
      <c r="V121" s="1404"/>
      <c r="W121" s="1404"/>
      <c r="X121" s="1395"/>
    </row>
    <row r="122" spans="1:24" s="1411" customFormat="1" ht="14.25" customHeight="1" x14ac:dyDescent="0.25">
      <c r="A122" s="1405"/>
      <c r="B122" s="1406"/>
      <c r="C122" s="1407" t="s">
        <v>676</v>
      </c>
      <c r="D122" s="2735" t="s">
        <v>995</v>
      </c>
      <c r="E122" s="2735"/>
      <c r="F122" s="2735"/>
      <c r="G122" s="2735"/>
      <c r="H122" s="2735"/>
      <c r="I122" s="2735"/>
      <c r="J122" s="2735"/>
      <c r="K122" s="2735"/>
      <c r="L122" s="1409"/>
      <c r="M122" s="1405"/>
      <c r="N122" s="1405"/>
      <c r="O122" s="1944"/>
      <c r="P122" s="1403"/>
      <c r="Q122" s="1403"/>
      <c r="R122" s="1404"/>
      <c r="S122" s="1404"/>
      <c r="T122" s="1404"/>
      <c r="U122" s="1404"/>
      <c r="V122" s="1404"/>
      <c r="W122" s="1404"/>
      <c r="X122" s="1395"/>
    </row>
    <row r="123" spans="1:24" s="1411" customFormat="1" ht="14.25" customHeight="1" x14ac:dyDescent="0.25">
      <c r="A123" s="1405"/>
      <c r="B123" s="1406"/>
      <c r="C123" s="1408"/>
      <c r="D123" s="2735"/>
      <c r="E123" s="2735"/>
      <c r="F123" s="2735"/>
      <c r="G123" s="2735"/>
      <c r="H123" s="2735"/>
      <c r="I123" s="2735"/>
      <c r="J123" s="2735"/>
      <c r="K123" s="2735"/>
      <c r="L123" s="1409"/>
      <c r="M123" s="1405"/>
      <c r="N123" s="1405"/>
      <c r="O123" s="1943"/>
      <c r="P123" s="1432"/>
      <c r="Q123" s="1432"/>
      <c r="R123" s="1432"/>
      <c r="S123" s="1395"/>
      <c r="T123" s="1395"/>
      <c r="U123" s="1395"/>
      <c r="V123" s="1395"/>
      <c r="W123" s="1395"/>
      <c r="X123" s="45"/>
    </row>
    <row r="124" spans="1:24" s="1411" customFormat="1" ht="14.25" customHeight="1" x14ac:dyDescent="0.25">
      <c r="A124" s="1412"/>
      <c r="B124" s="1406"/>
      <c r="C124" s="1408"/>
      <c r="D124" s="2735"/>
      <c r="E124" s="2735"/>
      <c r="F124" s="2735"/>
      <c r="G124" s="2735"/>
      <c r="H124" s="2735"/>
      <c r="I124" s="2735"/>
      <c r="J124" s="2735"/>
      <c r="K124" s="2735"/>
      <c r="L124" s="1409"/>
      <c r="M124" s="1405"/>
      <c r="N124" s="1405"/>
      <c r="O124" s="1943"/>
      <c r="P124" s="1432"/>
      <c r="Q124" s="1432"/>
      <c r="R124" s="1432"/>
      <c r="S124" s="1395"/>
      <c r="T124" s="1395"/>
      <c r="U124" s="1395"/>
      <c r="V124" s="1395"/>
      <c r="W124" s="1395"/>
      <c r="X124" s="45"/>
    </row>
    <row r="125" spans="1:24" s="1411" customFormat="1" ht="14.25" customHeight="1" x14ac:dyDescent="0.25">
      <c r="A125" s="1412"/>
      <c r="B125" s="1406"/>
      <c r="C125" s="1408"/>
      <c r="D125" s="2735"/>
      <c r="E125" s="2735"/>
      <c r="F125" s="2735"/>
      <c r="G125" s="2735"/>
      <c r="H125" s="2735"/>
      <c r="I125" s="2735"/>
      <c r="J125" s="2735"/>
      <c r="K125" s="2735"/>
      <c r="L125" s="1409"/>
      <c r="M125" s="1405"/>
      <c r="N125" s="1405"/>
      <c r="O125" s="1942"/>
      <c r="P125" s="1126"/>
      <c r="Q125" s="1126"/>
      <c r="R125" s="1126"/>
      <c r="S125" s="45"/>
      <c r="T125" s="45"/>
      <c r="U125" s="45"/>
      <c r="V125" s="45"/>
      <c r="W125" s="45"/>
      <c r="X125" s="45"/>
    </row>
    <row r="126" spans="1:24" s="1411" customFormat="1" ht="14.25" customHeight="1" x14ac:dyDescent="0.25">
      <c r="A126" s="1412"/>
      <c r="B126" s="1406"/>
      <c r="C126" s="1408"/>
      <c r="D126" s="2735"/>
      <c r="E126" s="2735"/>
      <c r="F126" s="2735"/>
      <c r="G126" s="2735"/>
      <c r="H126" s="2735"/>
      <c r="I126" s="2735"/>
      <c r="J126" s="2735"/>
      <c r="K126" s="2735"/>
      <c r="L126" s="1409"/>
      <c r="M126" s="1405"/>
      <c r="N126" s="1405"/>
      <c r="O126" s="1942"/>
      <c r="P126" s="1126"/>
      <c r="Q126" s="1126"/>
      <c r="R126" s="1126"/>
      <c r="S126" s="45"/>
      <c r="T126" s="45"/>
      <c r="U126" s="45"/>
      <c r="V126" s="45"/>
      <c r="W126" s="45"/>
      <c r="X126" s="45"/>
    </row>
    <row r="127" spans="1:24" ht="9.75" customHeight="1" thickBot="1" x14ac:dyDescent="0.3">
      <c r="A127" s="96"/>
      <c r="B127" s="137"/>
      <c r="C127" s="138"/>
      <c r="D127" s="168"/>
      <c r="E127" s="169"/>
      <c r="F127" s="169"/>
      <c r="G127" s="169"/>
      <c r="H127" s="169"/>
      <c r="I127" s="138"/>
      <c r="J127" s="138"/>
      <c r="K127" s="138"/>
      <c r="L127" s="139"/>
      <c r="M127" s="92"/>
      <c r="N127" s="92"/>
      <c r="O127" s="1942"/>
      <c r="X127" s="1411"/>
    </row>
    <row r="128" spans="1:24" ht="14.4" thickTop="1" thickBot="1" x14ac:dyDescent="0.3">
      <c r="A128" s="96"/>
      <c r="B128" s="96"/>
      <c r="C128" s="94"/>
      <c r="D128" s="141"/>
      <c r="E128" s="143"/>
      <c r="F128" s="143"/>
      <c r="G128" s="143"/>
      <c r="H128" s="143"/>
      <c r="I128" s="96"/>
      <c r="J128" s="96"/>
      <c r="K128" s="96"/>
      <c r="L128" s="92"/>
      <c r="M128" s="92"/>
      <c r="N128" s="92"/>
      <c r="O128" s="1942"/>
      <c r="X128" s="1411"/>
    </row>
    <row r="129" spans="1:24" ht="13.8" thickTop="1" x14ac:dyDescent="0.25">
      <c r="A129" s="96"/>
      <c r="B129" s="1529" t="s">
        <v>1000</v>
      </c>
      <c r="C129" s="163"/>
      <c r="D129" s="2702" t="s">
        <v>1001</v>
      </c>
      <c r="E129" s="2702"/>
      <c r="F129" s="2702"/>
      <c r="G129" s="2702"/>
      <c r="H129" s="2702"/>
      <c r="I129" s="2702"/>
      <c r="J129" s="125"/>
      <c r="K129" s="125"/>
      <c r="L129" s="126"/>
      <c r="M129" s="92"/>
      <c r="N129" s="92"/>
      <c r="O129" s="1945"/>
      <c r="P129" s="1410"/>
      <c r="Q129" s="1410"/>
      <c r="R129" s="1410"/>
      <c r="S129" s="1411"/>
      <c r="T129" s="1411"/>
      <c r="U129" s="1411"/>
      <c r="V129" s="1411"/>
      <c r="W129" s="1411"/>
      <c r="X129" s="1411"/>
    </row>
    <row r="130" spans="1:24" x14ac:dyDescent="0.25">
      <c r="A130" s="96"/>
      <c r="B130" s="127"/>
      <c r="C130" s="1525"/>
      <c r="D130" s="2703"/>
      <c r="E130" s="2703"/>
      <c r="F130" s="2703"/>
      <c r="G130" s="2703"/>
      <c r="H130" s="2703"/>
      <c r="I130" s="2703"/>
      <c r="J130" s="1430" t="s">
        <v>963</v>
      </c>
      <c r="K130" s="101"/>
      <c r="L130" s="128"/>
      <c r="M130" s="92"/>
      <c r="N130" s="92"/>
      <c r="O130" s="1945"/>
      <c r="P130" s="1410"/>
      <c r="Q130" s="1410"/>
      <c r="R130" s="1410"/>
      <c r="S130" s="1411"/>
      <c r="T130" s="1411"/>
      <c r="U130" s="1411"/>
      <c r="V130" s="1411"/>
      <c r="W130" s="1411"/>
      <c r="X130" s="1411"/>
    </row>
    <row r="131" spans="1:24" ht="9.75" customHeight="1" x14ac:dyDescent="0.25">
      <c r="A131" s="96"/>
      <c r="B131" s="131"/>
      <c r="C131" s="1440"/>
      <c r="D131" s="1440"/>
      <c r="E131" s="1440"/>
      <c r="F131" s="1440"/>
      <c r="G131" s="1440"/>
      <c r="H131" s="1440"/>
      <c r="I131" s="1440"/>
      <c r="J131" s="1440"/>
      <c r="K131" s="101"/>
      <c r="L131" s="128"/>
      <c r="M131" s="92"/>
      <c r="N131" s="92"/>
      <c r="O131" s="1945"/>
      <c r="P131" s="1410"/>
      <c r="Q131" s="1410"/>
      <c r="R131" s="1410"/>
      <c r="S131" s="1411"/>
      <c r="T131" s="1411"/>
      <c r="U131" s="1411"/>
      <c r="V131" s="1411"/>
      <c r="W131" s="1411"/>
      <c r="X131" s="1411"/>
    </row>
    <row r="132" spans="1:24" ht="12.75" customHeight="1" x14ac:dyDescent="0.25">
      <c r="A132" s="96"/>
      <c r="B132" s="129"/>
      <c r="C132" s="1440"/>
      <c r="D132" s="2662" t="s">
        <v>1003</v>
      </c>
      <c r="E132" s="2662"/>
      <c r="F132" s="2662"/>
      <c r="G132" s="2662"/>
      <c r="H132" s="2662"/>
      <c r="I132" s="2662"/>
      <c r="J132" s="2662"/>
      <c r="K132" s="2662"/>
      <c r="L132" s="1441"/>
      <c r="M132" s="92"/>
      <c r="N132" s="92"/>
      <c r="O132" s="1945"/>
      <c r="P132" s="1410"/>
      <c r="Q132" s="1410"/>
      <c r="R132" s="1410"/>
      <c r="S132" s="1411"/>
      <c r="T132" s="1411"/>
      <c r="U132" s="1411"/>
      <c r="V132" s="1411"/>
      <c r="W132" s="1411"/>
    </row>
    <row r="133" spans="1:24" x14ac:dyDescent="0.25">
      <c r="A133" s="96"/>
      <c r="B133" s="129"/>
      <c r="C133" s="1440"/>
      <c r="D133" s="2662"/>
      <c r="E133" s="2662"/>
      <c r="F133" s="2662"/>
      <c r="G133" s="2662"/>
      <c r="H133" s="2662"/>
      <c r="I133" s="2662"/>
      <c r="J133" s="2662"/>
      <c r="K133" s="2662"/>
      <c r="L133" s="1441"/>
      <c r="M133" s="92"/>
      <c r="N133" s="92"/>
      <c r="O133" s="1945"/>
      <c r="P133" s="1410"/>
      <c r="Q133" s="1410"/>
      <c r="R133" s="1410"/>
      <c r="S133" s="1411"/>
      <c r="T133" s="1411"/>
      <c r="U133" s="1411"/>
      <c r="V133" s="1411"/>
      <c r="W133" s="1411"/>
    </row>
    <row r="134" spans="1:24" x14ac:dyDescent="0.25">
      <c r="A134" s="96"/>
      <c r="B134" s="129"/>
      <c r="C134" s="1440"/>
      <c r="D134" s="2662"/>
      <c r="E134" s="2662"/>
      <c r="F134" s="2662"/>
      <c r="G134" s="2662"/>
      <c r="H134" s="2662"/>
      <c r="I134" s="2662"/>
      <c r="J134" s="2662"/>
      <c r="K134" s="2662"/>
      <c r="L134" s="1441"/>
      <c r="M134" s="92"/>
      <c r="N134" s="92"/>
      <c r="O134" s="1942"/>
    </row>
    <row r="135" spans="1:24" x14ac:dyDescent="0.25">
      <c r="A135" s="96"/>
      <c r="B135" s="129"/>
      <c r="C135" s="1440"/>
      <c r="D135" s="2662"/>
      <c r="E135" s="2662"/>
      <c r="F135" s="2662"/>
      <c r="G135" s="2662"/>
      <c r="H135" s="2662"/>
      <c r="I135" s="2662"/>
      <c r="J135" s="2662"/>
      <c r="K135" s="2662"/>
      <c r="L135" s="1441"/>
      <c r="M135" s="92"/>
      <c r="N135" s="92"/>
      <c r="O135" s="1942"/>
    </row>
    <row r="136" spans="1:24" ht="6" customHeight="1" x14ac:dyDescent="0.25">
      <c r="A136" s="96"/>
      <c r="B136" s="129"/>
      <c r="C136" s="1439"/>
      <c r="D136" s="1439"/>
      <c r="E136" s="1439"/>
      <c r="F136" s="1439"/>
      <c r="G136" s="1439"/>
      <c r="H136" s="1439"/>
      <c r="I136" s="1439"/>
      <c r="J136" s="1439"/>
      <c r="K136" s="1439"/>
      <c r="L136" s="128"/>
      <c r="M136" s="92"/>
      <c r="N136" s="92"/>
      <c r="O136" s="1942"/>
    </row>
    <row r="137" spans="1:24" ht="12.75" customHeight="1" x14ac:dyDescent="0.25">
      <c r="A137" s="96"/>
      <c r="B137" s="129"/>
      <c r="C137" s="1440"/>
      <c r="D137" s="2725" t="s">
        <v>1004</v>
      </c>
      <c r="E137" s="2725"/>
      <c r="F137" s="2725"/>
      <c r="G137" s="2725"/>
      <c r="H137" s="2725"/>
      <c r="I137" s="2725"/>
      <c r="J137" s="2725"/>
      <c r="K137" s="2725"/>
      <c r="L137" s="1442"/>
      <c r="M137" s="92"/>
      <c r="N137" s="92"/>
      <c r="O137" s="1942"/>
    </row>
    <row r="138" spans="1:24" ht="6" customHeight="1" x14ac:dyDescent="0.25">
      <c r="A138" s="96"/>
      <c r="B138" s="129"/>
      <c r="C138" s="1438"/>
      <c r="D138" s="1438"/>
      <c r="E138" s="1438"/>
      <c r="F138" s="1438"/>
      <c r="G138" s="1438"/>
      <c r="H138" s="1438"/>
      <c r="I138" s="1438"/>
      <c r="J138" s="1438"/>
      <c r="K138" s="1438"/>
      <c r="L138" s="128"/>
      <c r="M138" s="92"/>
      <c r="N138" s="92"/>
      <c r="O138" s="1942"/>
    </row>
    <row r="139" spans="1:24" x14ac:dyDescent="0.25">
      <c r="A139" s="96"/>
      <c r="B139" s="129"/>
      <c r="C139" s="1440"/>
      <c r="D139" s="2662" t="s">
        <v>1002</v>
      </c>
      <c r="E139" s="2662"/>
      <c r="F139" s="2662"/>
      <c r="G139" s="2662"/>
      <c r="H139" s="2662"/>
      <c r="I139" s="2662"/>
      <c r="J139" s="2662"/>
      <c r="K139" s="2662"/>
      <c r="L139" s="1441"/>
      <c r="M139" s="92"/>
      <c r="N139" s="92"/>
      <c r="O139" s="1942"/>
    </row>
    <row r="140" spans="1:24" x14ac:dyDescent="0.25">
      <c r="A140" s="96"/>
      <c r="B140" s="129"/>
      <c r="C140" s="1440"/>
      <c r="D140" s="2662"/>
      <c r="E140" s="2662"/>
      <c r="F140" s="2662"/>
      <c r="G140" s="2662"/>
      <c r="H140" s="2662"/>
      <c r="I140" s="2662"/>
      <c r="J140" s="2662"/>
      <c r="K140" s="2662"/>
      <c r="L140" s="1441"/>
      <c r="M140" s="92"/>
      <c r="N140" s="92"/>
      <c r="O140" s="1942"/>
    </row>
    <row r="141" spans="1:24" x14ac:dyDescent="0.25">
      <c r="A141" s="96"/>
      <c r="B141" s="129"/>
      <c r="C141" s="1440"/>
      <c r="D141" s="2662"/>
      <c r="E141" s="2662"/>
      <c r="F141" s="2662"/>
      <c r="G141" s="2662"/>
      <c r="H141" s="2662"/>
      <c r="I141" s="2662"/>
      <c r="J141" s="2662"/>
      <c r="K141" s="2662"/>
      <c r="L141" s="1441"/>
      <c r="M141" s="92"/>
      <c r="N141" s="92"/>
      <c r="O141" s="1942"/>
    </row>
    <row r="142" spans="1:24" ht="13.8" thickBot="1" x14ac:dyDescent="0.3">
      <c r="A142" s="96"/>
      <c r="B142" s="137"/>
      <c r="C142" s="168"/>
      <c r="D142" s="168"/>
      <c r="E142" s="168"/>
      <c r="F142" s="168"/>
      <c r="G142" s="168"/>
      <c r="H142" s="168"/>
      <c r="I142" s="138"/>
      <c r="J142" s="138"/>
      <c r="K142" s="138"/>
      <c r="L142" s="139"/>
      <c r="M142" s="92"/>
      <c r="N142" s="92"/>
      <c r="O142" s="1942"/>
    </row>
    <row r="143" spans="1:24" ht="14.4" thickTop="1" thickBot="1" x14ac:dyDescent="0.3">
      <c r="A143" s="96"/>
      <c r="B143" s="96"/>
      <c r="C143" s="143"/>
      <c r="D143" s="141"/>
      <c r="E143" s="143"/>
      <c r="F143" s="143"/>
      <c r="G143" s="143"/>
      <c r="H143" s="143"/>
      <c r="I143" s="96"/>
      <c r="J143" s="96"/>
      <c r="K143" s="96"/>
      <c r="L143" s="92"/>
      <c r="M143" s="92"/>
      <c r="N143" s="92"/>
      <c r="O143" s="1942"/>
    </row>
    <row r="144" spans="1:24" ht="15.75" customHeight="1" thickTop="1" x14ac:dyDescent="0.25">
      <c r="A144" s="96"/>
      <c r="B144" s="2685" t="s">
        <v>1062</v>
      </c>
      <c r="C144" s="2686"/>
      <c r="D144" s="2686"/>
      <c r="E144" s="2686"/>
      <c r="F144" s="2686"/>
      <c r="G144" s="2686"/>
      <c r="H144" s="2686"/>
      <c r="I144" s="2686"/>
      <c r="J144" s="2686"/>
      <c r="K144" s="2686"/>
      <c r="L144" s="126"/>
      <c r="M144" s="92"/>
      <c r="N144" s="92"/>
      <c r="O144" s="1942"/>
    </row>
    <row r="145" spans="1:15" ht="9.75" customHeight="1" x14ac:dyDescent="0.25">
      <c r="A145" s="100"/>
      <c r="B145" s="2687"/>
      <c r="C145" s="2688"/>
      <c r="D145" s="2688"/>
      <c r="E145" s="2688"/>
      <c r="F145" s="2688"/>
      <c r="G145" s="2688"/>
      <c r="H145" s="2688"/>
      <c r="I145" s="2688"/>
      <c r="J145" s="2688"/>
      <c r="K145" s="2688"/>
      <c r="L145" s="128"/>
      <c r="M145" s="92"/>
      <c r="N145" s="92"/>
      <c r="O145" s="1942"/>
    </row>
    <row r="146" spans="1:15" ht="11.25" customHeight="1" x14ac:dyDescent="0.25">
      <c r="A146" s="96"/>
      <c r="B146" s="129"/>
      <c r="C146" s="2726"/>
      <c r="D146" s="2727"/>
      <c r="E146" s="2727"/>
      <c r="F146" s="2727"/>
      <c r="G146" s="2727"/>
      <c r="H146" s="2727"/>
      <c r="I146" s="2727"/>
      <c r="J146" s="2727"/>
      <c r="K146" s="2728"/>
      <c r="L146" s="128"/>
      <c r="M146" s="92"/>
      <c r="N146" s="92"/>
      <c r="O146" s="1942"/>
    </row>
    <row r="147" spans="1:15" ht="35.25" customHeight="1" x14ac:dyDescent="0.25">
      <c r="A147" s="96"/>
      <c r="B147" s="129"/>
      <c r="C147" s="2729"/>
      <c r="D147" s="2730"/>
      <c r="E147" s="2730"/>
      <c r="F147" s="2730"/>
      <c r="G147" s="2730"/>
      <c r="H147" s="2730"/>
      <c r="I147" s="2730"/>
      <c r="J147" s="2730"/>
      <c r="K147" s="2731"/>
      <c r="L147" s="128"/>
      <c r="M147" s="92"/>
      <c r="N147" s="92"/>
      <c r="O147" s="1942"/>
    </row>
    <row r="148" spans="1:15" ht="11.25" customHeight="1" x14ac:dyDescent="0.25">
      <c r="A148" s="96"/>
      <c r="B148" s="129"/>
      <c r="C148" s="2732"/>
      <c r="D148" s="2733"/>
      <c r="E148" s="2733"/>
      <c r="F148" s="2733"/>
      <c r="G148" s="2733"/>
      <c r="H148" s="2733"/>
      <c r="I148" s="2733"/>
      <c r="J148" s="2733"/>
      <c r="K148" s="2734"/>
      <c r="L148" s="128"/>
      <c r="M148" s="92"/>
      <c r="N148" s="92"/>
      <c r="O148" s="1942"/>
    </row>
    <row r="149" spans="1:15" ht="9.75" customHeight="1" thickBot="1" x14ac:dyDescent="0.3">
      <c r="A149" s="96"/>
      <c r="B149" s="137"/>
      <c r="C149" s="168"/>
      <c r="D149" s="168"/>
      <c r="E149" s="168"/>
      <c r="F149" s="168"/>
      <c r="G149" s="168"/>
      <c r="H149" s="168"/>
      <c r="I149" s="138"/>
      <c r="J149" s="138"/>
      <c r="K149" s="138"/>
      <c r="L149" s="139"/>
      <c r="M149" s="92"/>
      <c r="N149" s="92"/>
      <c r="O149" s="1942"/>
    </row>
    <row r="150" spans="1:15" ht="14.4" thickTop="1" thickBot="1" x14ac:dyDescent="0.3">
      <c r="A150" s="96"/>
      <c r="B150" s="96"/>
      <c r="C150" s="141"/>
      <c r="D150" s="141"/>
      <c r="E150" s="141"/>
      <c r="F150" s="141"/>
      <c r="G150" s="141"/>
      <c r="H150" s="141"/>
      <c r="I150" s="96"/>
      <c r="J150" s="96"/>
      <c r="K150" s="96"/>
      <c r="L150" s="96"/>
      <c r="M150" s="92"/>
      <c r="N150" s="92"/>
      <c r="O150" s="1942"/>
    </row>
    <row r="151" spans="1:15" ht="15" thickTop="1" x14ac:dyDescent="0.25">
      <c r="A151" s="96"/>
      <c r="B151" s="2658" t="s">
        <v>1234</v>
      </c>
      <c r="C151" s="2659"/>
      <c r="D151" s="2659"/>
      <c r="E151" s="2659"/>
      <c r="F151" s="2659"/>
      <c r="G151" s="2659"/>
      <c r="H151" s="2659"/>
      <c r="I151" s="2659"/>
      <c r="J151" s="2659"/>
      <c r="K151" s="2659"/>
      <c r="L151" s="2660"/>
      <c r="M151" s="92"/>
      <c r="N151" s="92"/>
      <c r="O151" s="1942"/>
    </row>
    <row r="152" spans="1:15" ht="14.4" x14ac:dyDescent="0.3">
      <c r="A152" s="96"/>
      <c r="B152" s="1946"/>
      <c r="C152" s="2664"/>
      <c r="D152" s="2665"/>
      <c r="E152" s="2665"/>
      <c r="F152" s="2665"/>
      <c r="G152" s="2665"/>
      <c r="H152" s="2665"/>
      <c r="I152" s="2665"/>
      <c r="J152" s="2665"/>
      <c r="K152" s="2666"/>
      <c r="L152" s="1947"/>
      <c r="M152" s="92"/>
      <c r="N152" s="92"/>
      <c r="O152" s="1942"/>
    </row>
    <row r="153" spans="1:15" ht="14.4" x14ac:dyDescent="0.3">
      <c r="A153" s="96"/>
      <c r="B153" s="1946"/>
      <c r="C153" s="2667"/>
      <c r="D153" s="2668"/>
      <c r="E153" s="2668"/>
      <c r="F153" s="2668"/>
      <c r="G153" s="2668"/>
      <c r="H153" s="2668"/>
      <c r="I153" s="2668"/>
      <c r="J153" s="2668"/>
      <c r="K153" s="2669"/>
      <c r="L153" s="1947"/>
      <c r="M153" s="92"/>
      <c r="N153" s="92"/>
      <c r="O153" s="1942"/>
    </row>
    <row r="154" spans="1:15" ht="14.4" x14ac:dyDescent="0.3">
      <c r="A154" s="96"/>
      <c r="B154" s="1946"/>
      <c r="C154" s="2667"/>
      <c r="D154" s="2668"/>
      <c r="E154" s="2668"/>
      <c r="F154" s="2668"/>
      <c r="G154" s="2668"/>
      <c r="H154" s="2668"/>
      <c r="I154" s="2668"/>
      <c r="J154" s="2668"/>
      <c r="K154" s="2669"/>
      <c r="L154" s="1947"/>
      <c r="M154" s="92"/>
      <c r="N154" s="92"/>
      <c r="O154" s="1942"/>
    </row>
    <row r="155" spans="1:15" ht="14.4" x14ac:dyDescent="0.3">
      <c r="A155" s="96"/>
      <c r="B155" s="1946"/>
      <c r="C155" s="2667"/>
      <c r="D155" s="2668"/>
      <c r="E155" s="2668"/>
      <c r="F155" s="2668"/>
      <c r="G155" s="2668"/>
      <c r="H155" s="2668"/>
      <c r="I155" s="2668"/>
      <c r="J155" s="2668"/>
      <c r="K155" s="2669"/>
      <c r="L155" s="1947"/>
      <c r="M155" s="92"/>
      <c r="N155" s="92"/>
      <c r="O155" s="1942"/>
    </row>
    <row r="156" spans="1:15" ht="14.4" x14ac:dyDescent="0.3">
      <c r="A156" s="96"/>
      <c r="B156" s="1946"/>
      <c r="C156" s="2667"/>
      <c r="D156" s="2668"/>
      <c r="E156" s="2668"/>
      <c r="F156" s="2668"/>
      <c r="G156" s="2668"/>
      <c r="H156" s="2668"/>
      <c r="I156" s="2668"/>
      <c r="J156" s="2668"/>
      <c r="K156" s="2669"/>
      <c r="L156" s="1947"/>
      <c r="M156" s="92"/>
      <c r="N156" s="92"/>
      <c r="O156" s="1942"/>
    </row>
    <row r="157" spans="1:15" ht="14.4" x14ac:dyDescent="0.3">
      <c r="A157" s="96"/>
      <c r="B157" s="1946"/>
      <c r="C157" s="2667"/>
      <c r="D157" s="2668"/>
      <c r="E157" s="2668"/>
      <c r="F157" s="2668"/>
      <c r="G157" s="2668"/>
      <c r="H157" s="2668"/>
      <c r="I157" s="2668"/>
      <c r="J157" s="2668"/>
      <c r="K157" s="2669"/>
      <c r="L157" s="1947"/>
      <c r="M157" s="92"/>
      <c r="N157" s="92"/>
      <c r="O157" s="1942"/>
    </row>
    <row r="158" spans="1:15" ht="14.4" x14ac:dyDescent="0.3">
      <c r="A158" s="96"/>
      <c r="B158" s="1946"/>
      <c r="C158" s="2667"/>
      <c r="D158" s="2668"/>
      <c r="E158" s="2668"/>
      <c r="F158" s="2668"/>
      <c r="G158" s="2668"/>
      <c r="H158" s="2668"/>
      <c r="I158" s="2668"/>
      <c r="J158" s="2668"/>
      <c r="K158" s="2669"/>
      <c r="L158" s="1947"/>
      <c r="M158" s="92"/>
      <c r="N158" s="92"/>
      <c r="O158" s="1942"/>
    </row>
    <row r="159" spans="1:15" ht="14.4" x14ac:dyDescent="0.3">
      <c r="A159" s="96"/>
      <c r="B159" s="1946"/>
      <c r="C159" s="2667"/>
      <c r="D159" s="2668"/>
      <c r="E159" s="2668"/>
      <c r="F159" s="2668"/>
      <c r="G159" s="2668"/>
      <c r="H159" s="2668"/>
      <c r="I159" s="2668"/>
      <c r="J159" s="2668"/>
      <c r="K159" s="2669"/>
      <c r="L159" s="1947"/>
      <c r="M159" s="92"/>
      <c r="N159" s="92"/>
      <c r="O159" s="1942"/>
    </row>
    <row r="160" spans="1:15" ht="14.4" x14ac:dyDescent="0.3">
      <c r="A160" s="96"/>
      <c r="B160" s="1946"/>
      <c r="C160" s="2667"/>
      <c r="D160" s="2668"/>
      <c r="E160" s="2668"/>
      <c r="F160" s="2668"/>
      <c r="G160" s="2668"/>
      <c r="H160" s="2668"/>
      <c r="I160" s="2668"/>
      <c r="J160" s="2668"/>
      <c r="K160" s="2669"/>
      <c r="L160" s="1947"/>
      <c r="M160" s="92"/>
      <c r="N160" s="92"/>
      <c r="O160" s="1942"/>
    </row>
    <row r="161" spans="1:15" ht="14.4" x14ac:dyDescent="0.3">
      <c r="A161" s="96"/>
      <c r="B161" s="1946"/>
      <c r="C161" s="2667"/>
      <c r="D161" s="2668"/>
      <c r="E161" s="2668"/>
      <c r="F161" s="2668"/>
      <c r="G161" s="2668"/>
      <c r="H161" s="2668"/>
      <c r="I161" s="2668"/>
      <c r="J161" s="2668"/>
      <c r="K161" s="2669"/>
      <c r="L161" s="1947"/>
      <c r="M161" s="92"/>
      <c r="N161" s="92"/>
      <c r="O161" s="1942"/>
    </row>
    <row r="162" spans="1:15" ht="14.4" x14ac:dyDescent="0.3">
      <c r="A162" s="96"/>
      <c r="B162" s="1946"/>
      <c r="C162" s="2667"/>
      <c r="D162" s="2668"/>
      <c r="E162" s="2668"/>
      <c r="F162" s="2668"/>
      <c r="G162" s="2668"/>
      <c r="H162" s="2668"/>
      <c r="I162" s="2668"/>
      <c r="J162" s="2668"/>
      <c r="K162" s="2669"/>
      <c r="L162" s="1947"/>
      <c r="M162" s="92"/>
      <c r="N162" s="92"/>
      <c r="O162" s="1942"/>
    </row>
    <row r="163" spans="1:15" ht="14.4" x14ac:dyDescent="0.3">
      <c r="A163" s="96"/>
      <c r="B163" s="1946"/>
      <c r="C163" s="2667"/>
      <c r="D163" s="2668"/>
      <c r="E163" s="2668"/>
      <c r="F163" s="2668"/>
      <c r="G163" s="2668"/>
      <c r="H163" s="2668"/>
      <c r="I163" s="2668"/>
      <c r="J163" s="2668"/>
      <c r="K163" s="2669"/>
      <c r="L163" s="1947"/>
      <c r="M163" s="92"/>
      <c r="N163" s="92"/>
      <c r="O163" s="1942"/>
    </row>
    <row r="164" spans="1:15" ht="14.4" x14ac:dyDescent="0.3">
      <c r="A164" s="96"/>
      <c r="B164" s="1946"/>
      <c r="C164" s="2670"/>
      <c r="D164" s="2671"/>
      <c r="E164" s="2671"/>
      <c r="F164" s="2671"/>
      <c r="G164" s="2671"/>
      <c r="H164" s="2671"/>
      <c r="I164" s="2671"/>
      <c r="J164" s="2671"/>
      <c r="K164" s="2672"/>
      <c r="L164" s="1947"/>
      <c r="M164" s="92"/>
      <c r="N164" s="92"/>
      <c r="O164" s="1942"/>
    </row>
    <row r="165" spans="1:15" ht="15" thickBot="1" x14ac:dyDescent="0.35">
      <c r="A165" s="96"/>
      <c r="B165" s="1948"/>
      <c r="C165" s="1949"/>
      <c r="D165" s="1949"/>
      <c r="E165" s="1949"/>
      <c r="F165" s="1949"/>
      <c r="G165" s="1949"/>
      <c r="H165" s="1949"/>
      <c r="I165" s="1949"/>
      <c r="J165" s="1949"/>
      <c r="K165" s="1949"/>
      <c r="L165" s="1950"/>
      <c r="M165" s="92"/>
      <c r="N165" s="92"/>
      <c r="O165" s="1942"/>
    </row>
    <row r="166" spans="1:15" ht="13.8" thickTop="1" x14ac:dyDescent="0.25">
      <c r="A166" s="96"/>
      <c r="B166" s="96"/>
      <c r="C166" s="96"/>
      <c r="D166" s="96"/>
      <c r="E166" s="96"/>
      <c r="F166" s="96"/>
      <c r="G166" s="96"/>
      <c r="H166" s="96"/>
      <c r="I166" s="96"/>
      <c r="J166" s="96"/>
      <c r="K166" s="96"/>
      <c r="L166" s="96"/>
      <c r="M166" s="92"/>
      <c r="N166" s="92"/>
      <c r="O166" s="1942"/>
    </row>
    <row r="167" spans="1:15" x14ac:dyDescent="0.25">
      <c r="A167" s="100"/>
      <c r="B167" s="100"/>
      <c r="C167" s="96"/>
      <c r="D167" s="96"/>
      <c r="E167" s="96"/>
      <c r="F167" s="96"/>
      <c r="G167" s="96"/>
      <c r="H167" s="96"/>
      <c r="I167" s="96"/>
      <c r="J167" s="96"/>
      <c r="K167" s="96"/>
      <c r="L167" s="96"/>
      <c r="M167" s="92"/>
      <c r="N167" s="92"/>
      <c r="O167" s="1942"/>
    </row>
    <row r="168" spans="1:15" x14ac:dyDescent="0.25">
      <c r="A168" s="96"/>
      <c r="B168" s="96"/>
      <c r="C168" s="96"/>
      <c r="D168" s="96"/>
      <c r="E168" s="96"/>
      <c r="F168" s="96"/>
      <c r="G168" s="96"/>
      <c r="H168" s="96"/>
      <c r="I168" s="96"/>
      <c r="J168" s="96"/>
      <c r="K168" s="96"/>
      <c r="L168" s="96"/>
      <c r="M168" s="92"/>
      <c r="N168" s="92"/>
      <c r="O168" s="1942"/>
    </row>
    <row r="169" spans="1:15" x14ac:dyDescent="0.25">
      <c r="A169" s="96"/>
      <c r="B169" s="96"/>
      <c r="C169" s="1952"/>
      <c r="D169" s="1953"/>
      <c r="E169" s="1953"/>
      <c r="F169" s="1953"/>
      <c r="G169" s="1953"/>
      <c r="H169" s="1953"/>
      <c r="I169" s="1953"/>
      <c r="J169" s="1953"/>
      <c r="K169" s="1953"/>
      <c r="L169" s="96"/>
      <c r="M169" s="92"/>
      <c r="N169" s="92"/>
      <c r="O169" s="1942"/>
    </row>
    <row r="170" spans="1:15" s="1942" customFormat="1" x14ac:dyDescent="0.25">
      <c r="A170" s="1951"/>
      <c r="B170" s="1951"/>
      <c r="C170" s="1954"/>
      <c r="D170" s="1954"/>
      <c r="E170" s="1954"/>
      <c r="F170" s="1954"/>
      <c r="G170" s="1954"/>
      <c r="H170" s="1954"/>
      <c r="I170" s="1954"/>
      <c r="J170" s="1954"/>
      <c r="K170" s="1954"/>
      <c r="L170" s="1951"/>
    </row>
    <row r="171" spans="1:15" s="1942" customFormat="1" x14ac:dyDescent="0.25">
      <c r="A171" s="1951"/>
      <c r="B171" s="1951"/>
      <c r="C171" s="1954"/>
      <c r="D171" s="1954"/>
      <c r="E171" s="1954"/>
      <c r="F171" s="1954"/>
      <c r="G171" s="1954"/>
      <c r="H171" s="1954"/>
      <c r="I171" s="1954"/>
      <c r="J171" s="1954"/>
      <c r="K171" s="1954"/>
      <c r="L171" s="1951"/>
    </row>
    <row r="172" spans="1:15" s="1942" customFormat="1" x14ac:dyDescent="0.25">
      <c r="A172" s="1951"/>
      <c r="B172" s="1951"/>
      <c r="C172" s="1954"/>
      <c r="D172" s="1954"/>
      <c r="E172" s="1954"/>
      <c r="F172" s="1954"/>
      <c r="G172" s="1954"/>
      <c r="H172" s="1954"/>
      <c r="I172" s="1954"/>
      <c r="J172" s="1954"/>
      <c r="K172" s="1954"/>
      <c r="L172" s="1951"/>
    </row>
    <row r="173" spans="1:15" s="1942" customFormat="1" x14ac:dyDescent="0.25">
      <c r="A173" s="1951"/>
      <c r="B173" s="1951"/>
      <c r="C173" s="1954"/>
      <c r="D173" s="1954"/>
      <c r="E173" s="1954"/>
      <c r="F173" s="1954"/>
      <c r="G173" s="1954"/>
      <c r="H173" s="1954"/>
      <c r="I173" s="1954"/>
      <c r="J173" s="1954"/>
      <c r="K173" s="1954"/>
      <c r="L173" s="1951"/>
    </row>
    <row r="174" spans="1:15" s="1942" customFormat="1" x14ac:dyDescent="0.25">
      <c r="A174" s="1951"/>
      <c r="B174" s="1951"/>
      <c r="C174" s="1951"/>
      <c r="D174" s="1951"/>
      <c r="E174" s="1951"/>
      <c r="F174" s="1951"/>
      <c r="G174" s="1951"/>
      <c r="H174" s="1951"/>
      <c r="I174" s="1951"/>
      <c r="J174" s="1951"/>
      <c r="K174" s="1951"/>
      <c r="L174" s="1951"/>
    </row>
    <row r="175" spans="1:15" s="1942" customFormat="1" x14ac:dyDescent="0.25">
      <c r="A175" s="1951"/>
      <c r="B175" s="1951"/>
      <c r="C175" s="1951"/>
      <c r="D175" s="1951"/>
      <c r="E175" s="1951"/>
      <c r="F175" s="1951"/>
      <c r="G175" s="1951"/>
      <c r="H175" s="1951"/>
      <c r="I175" s="1951"/>
      <c r="J175" s="1951"/>
      <c r="K175" s="1951"/>
      <c r="L175" s="1951"/>
    </row>
    <row r="176" spans="1:15" s="1942" customFormat="1" x14ac:dyDescent="0.25">
      <c r="A176" s="1951"/>
      <c r="B176" s="1951"/>
      <c r="C176" s="1951"/>
      <c r="D176" s="1951"/>
      <c r="E176" s="1951"/>
      <c r="F176" s="1951"/>
      <c r="G176" s="1951"/>
      <c r="H176" s="1951"/>
      <c r="I176" s="1951"/>
      <c r="J176" s="1951"/>
      <c r="K176" s="1951"/>
      <c r="L176" s="1951"/>
    </row>
    <row r="177" spans="1:12" s="1942" customFormat="1" x14ac:dyDescent="0.25">
      <c r="A177" s="1951"/>
      <c r="B177" s="1951"/>
      <c r="C177" s="1951"/>
      <c r="D177" s="1951"/>
      <c r="E177" s="1951"/>
      <c r="F177" s="1951"/>
      <c r="G177" s="1951"/>
      <c r="H177" s="1951"/>
      <c r="I177" s="1951"/>
      <c r="J177" s="1951"/>
      <c r="K177" s="1951"/>
      <c r="L177" s="1951"/>
    </row>
    <row r="178" spans="1:12" s="1942" customFormat="1" x14ac:dyDescent="0.25">
      <c r="A178" s="1951"/>
      <c r="B178" s="1951"/>
      <c r="C178" s="1951"/>
      <c r="D178" s="1951"/>
      <c r="E178" s="1951"/>
      <c r="F178" s="1951"/>
      <c r="G178" s="1951"/>
      <c r="H178" s="1951"/>
      <c r="I178" s="1951"/>
      <c r="J178" s="1951"/>
      <c r="K178" s="1951"/>
      <c r="L178" s="1951"/>
    </row>
    <row r="179" spans="1:12" s="1942" customFormat="1" x14ac:dyDescent="0.25">
      <c r="A179" s="1951"/>
      <c r="B179" s="1951"/>
      <c r="C179" s="1951"/>
      <c r="D179" s="1951"/>
      <c r="E179" s="1951"/>
      <c r="F179" s="1951"/>
      <c r="G179" s="1951"/>
      <c r="H179" s="1951"/>
      <c r="I179" s="1951"/>
      <c r="J179" s="1951"/>
      <c r="K179" s="1951"/>
      <c r="L179" s="1951"/>
    </row>
    <row r="180" spans="1:12" s="1942" customFormat="1" x14ac:dyDescent="0.25"/>
    <row r="181" spans="1:12" s="1942" customFormat="1" x14ac:dyDescent="0.25"/>
    <row r="182" spans="1:12" s="1942" customFormat="1" x14ac:dyDescent="0.25"/>
    <row r="183" spans="1:12" s="1942" customFormat="1" x14ac:dyDescent="0.25"/>
    <row r="184" spans="1:12" s="1942" customFormat="1" x14ac:dyDescent="0.25"/>
    <row r="185" spans="1:12" s="1942" customFormat="1" x14ac:dyDescent="0.25"/>
    <row r="186" spans="1:12" s="1942" customFormat="1" x14ac:dyDescent="0.25"/>
    <row r="187" spans="1:12" s="1942" customFormat="1" x14ac:dyDescent="0.25"/>
    <row r="188" spans="1:12" s="1942" customFormat="1" x14ac:dyDescent="0.25"/>
    <row r="189" spans="1:12" s="1942" customFormat="1" x14ac:dyDescent="0.25"/>
    <row r="190" spans="1:12" s="1942" customFormat="1" x14ac:dyDescent="0.25"/>
    <row r="191" spans="1:12" s="1942" customFormat="1" x14ac:dyDescent="0.25"/>
    <row r="192" spans="1:12" s="1942" customFormat="1" x14ac:dyDescent="0.25"/>
    <row r="193" s="1942" customFormat="1" x14ac:dyDescent="0.25"/>
    <row r="194" s="1942" customFormat="1" x14ac:dyDescent="0.25"/>
    <row r="195" s="1942" customFormat="1" x14ac:dyDescent="0.25"/>
    <row r="196" s="1942" customFormat="1" x14ac:dyDescent="0.25"/>
    <row r="197" s="1942" customFormat="1" x14ac:dyDescent="0.25"/>
    <row r="198" s="1942" customFormat="1" x14ac:dyDescent="0.25"/>
    <row r="199" s="1942" customFormat="1" x14ac:dyDescent="0.25"/>
    <row r="200" s="1942" customFormat="1" x14ac:dyDescent="0.25"/>
    <row r="201" s="1942" customFormat="1" x14ac:dyDescent="0.25"/>
    <row r="202" s="1942" customFormat="1" x14ac:dyDescent="0.25"/>
    <row r="203" s="1942" customFormat="1" x14ac:dyDescent="0.25"/>
    <row r="204" s="1942" customFormat="1" x14ac:dyDescent="0.25"/>
    <row r="205" s="1942" customFormat="1" x14ac:dyDescent="0.25"/>
    <row r="206" s="1942" customFormat="1" x14ac:dyDescent="0.25"/>
    <row r="207" s="1942" customFormat="1" x14ac:dyDescent="0.25"/>
    <row r="208" s="1942" customFormat="1" x14ac:dyDescent="0.25"/>
    <row r="209" s="1942" customFormat="1" x14ac:dyDescent="0.25"/>
    <row r="210" s="1942" customFormat="1" x14ac:dyDescent="0.25"/>
    <row r="211" s="1942" customFormat="1" x14ac:dyDescent="0.25"/>
    <row r="212" s="1942" customFormat="1" x14ac:dyDescent="0.25"/>
    <row r="213" s="1942" customFormat="1" x14ac:dyDescent="0.25"/>
    <row r="214" s="1942" customFormat="1" x14ac:dyDescent="0.25"/>
    <row r="215" s="1942" customFormat="1" x14ac:dyDescent="0.25"/>
    <row r="216" s="1942" customFormat="1" x14ac:dyDescent="0.25"/>
    <row r="217" s="1942" customFormat="1" x14ac:dyDescent="0.25"/>
    <row r="218" s="1942" customFormat="1" x14ac:dyDescent="0.25"/>
    <row r="219" s="1942" customFormat="1" x14ac:dyDescent="0.25"/>
    <row r="220" s="1942" customFormat="1" x14ac:dyDescent="0.25"/>
    <row r="221" s="1942" customFormat="1" x14ac:dyDescent="0.25"/>
    <row r="222" s="1942" customFormat="1" x14ac:dyDescent="0.25"/>
    <row r="223" s="1942" customFormat="1" x14ac:dyDescent="0.25"/>
    <row r="224" s="1942" customFormat="1" x14ac:dyDescent="0.25"/>
    <row r="225" s="1942" customFormat="1" x14ac:dyDescent="0.25"/>
    <row r="226" s="1942" customFormat="1" x14ac:dyDescent="0.25"/>
    <row r="227" s="1942" customFormat="1" x14ac:dyDescent="0.25"/>
    <row r="228" s="1942" customFormat="1" x14ac:dyDescent="0.25"/>
    <row r="229" s="1942" customFormat="1" x14ac:dyDescent="0.25"/>
    <row r="230" s="1942" customFormat="1" x14ac:dyDescent="0.25"/>
    <row r="231" s="1942" customFormat="1" x14ac:dyDescent="0.25"/>
    <row r="232" s="1942" customFormat="1" x14ac:dyDescent="0.25"/>
    <row r="233" s="1942" customFormat="1" x14ac:dyDescent="0.25"/>
    <row r="234" s="1942" customFormat="1" x14ac:dyDescent="0.25"/>
    <row r="235" s="1942" customFormat="1" x14ac:dyDescent="0.25"/>
    <row r="236" s="1942" customFormat="1" x14ac:dyDescent="0.25"/>
    <row r="237" s="1942" customFormat="1" x14ac:dyDescent="0.25"/>
    <row r="238" s="1942" customFormat="1" x14ac:dyDescent="0.25"/>
    <row r="239" s="1942" customFormat="1" x14ac:dyDescent="0.25"/>
    <row r="240" s="1942" customFormat="1" x14ac:dyDescent="0.25"/>
    <row r="241" s="1942" customFormat="1" x14ac:dyDescent="0.25"/>
    <row r="242" s="1942" customFormat="1" x14ac:dyDescent="0.25"/>
    <row r="243" s="1942" customFormat="1" x14ac:dyDescent="0.25"/>
    <row r="244" s="1942" customFormat="1" x14ac:dyDescent="0.25"/>
    <row r="245" s="1942" customFormat="1" x14ac:dyDescent="0.25"/>
    <row r="246" s="1942" customFormat="1" x14ac:dyDescent="0.25"/>
    <row r="247" s="1942" customFormat="1" x14ac:dyDescent="0.25"/>
    <row r="248" s="1942" customFormat="1" x14ac:dyDescent="0.25"/>
    <row r="249" s="1942" customFormat="1" x14ac:dyDescent="0.25"/>
    <row r="250" s="1942" customFormat="1" x14ac:dyDescent="0.25"/>
    <row r="251" s="1942" customFormat="1" x14ac:dyDescent="0.25"/>
    <row r="252" s="1942" customFormat="1" x14ac:dyDescent="0.25"/>
    <row r="253" s="1942" customFormat="1" x14ac:dyDescent="0.25"/>
    <row r="254" s="1942" customFormat="1" x14ac:dyDescent="0.25"/>
    <row r="255" s="1942" customFormat="1" x14ac:dyDescent="0.25"/>
    <row r="256" s="1942" customFormat="1" x14ac:dyDescent="0.25"/>
    <row r="257" s="1942" customFormat="1" x14ac:dyDescent="0.25"/>
    <row r="258" s="1942" customFormat="1" x14ac:dyDescent="0.25"/>
    <row r="259" s="1942" customFormat="1" x14ac:dyDescent="0.25"/>
    <row r="260" s="1942" customFormat="1" x14ac:dyDescent="0.25"/>
    <row r="261" s="1942" customFormat="1" x14ac:dyDescent="0.25"/>
    <row r="262" s="1942" customFormat="1" x14ac:dyDescent="0.25"/>
    <row r="263" s="1942" customFormat="1" x14ac:dyDescent="0.25"/>
    <row r="264" s="1942" customFormat="1" x14ac:dyDescent="0.25"/>
    <row r="265" s="1942" customFormat="1" x14ac:dyDescent="0.25"/>
    <row r="266" s="1942" customFormat="1" x14ac:dyDescent="0.25"/>
    <row r="267" s="1942" customFormat="1" x14ac:dyDescent="0.25"/>
    <row r="268" s="1942" customFormat="1" x14ac:dyDescent="0.25"/>
    <row r="269" s="1942" customFormat="1" x14ac:dyDescent="0.25"/>
    <row r="270" s="1942" customFormat="1" x14ac:dyDescent="0.25"/>
    <row r="271" s="1942" customFormat="1" x14ac:dyDescent="0.25"/>
    <row r="272" s="1942" customFormat="1" x14ac:dyDescent="0.25"/>
    <row r="273" s="1942" customFormat="1" x14ac:dyDescent="0.25"/>
    <row r="274" s="1942" customFormat="1" x14ac:dyDescent="0.25"/>
    <row r="275" s="1942" customFormat="1" x14ac:dyDescent="0.25"/>
    <row r="276" s="1942" customFormat="1" x14ac:dyDescent="0.25"/>
    <row r="277" s="1942" customFormat="1" x14ac:dyDescent="0.25"/>
    <row r="278" s="1942" customFormat="1" x14ac:dyDescent="0.25"/>
    <row r="279" s="1942" customFormat="1" x14ac:dyDescent="0.25"/>
    <row r="280" s="1942" customFormat="1" x14ac:dyDescent="0.25"/>
    <row r="281" s="1942" customFormat="1" x14ac:dyDescent="0.25"/>
    <row r="282" s="1942" customFormat="1" x14ac:dyDescent="0.25"/>
    <row r="283" s="1942" customFormat="1" x14ac:dyDescent="0.25"/>
    <row r="284" s="1942" customFormat="1" x14ac:dyDescent="0.25"/>
    <row r="285" s="1942" customFormat="1" x14ac:dyDescent="0.25"/>
    <row r="286" s="1942" customFormat="1" x14ac:dyDescent="0.25"/>
    <row r="287" s="1942" customFormat="1" x14ac:dyDescent="0.25"/>
    <row r="288" s="1942" customFormat="1" x14ac:dyDescent="0.25"/>
    <row r="289" s="1942" customFormat="1" x14ac:dyDescent="0.25"/>
    <row r="290" s="1942" customFormat="1" x14ac:dyDescent="0.25"/>
    <row r="291" s="1942" customFormat="1" x14ac:dyDescent="0.25"/>
    <row r="292" s="1942" customFormat="1" x14ac:dyDescent="0.25"/>
    <row r="293" s="1942" customFormat="1" x14ac:dyDescent="0.25"/>
    <row r="294" s="1942" customFormat="1" x14ac:dyDescent="0.25"/>
    <row r="295" s="1942" customFormat="1" x14ac:dyDescent="0.25"/>
    <row r="296" s="1942" customFormat="1" x14ac:dyDescent="0.25"/>
    <row r="297" s="1942" customFormat="1" x14ac:dyDescent="0.25"/>
    <row r="298" s="1942" customFormat="1" x14ac:dyDescent="0.25"/>
    <row r="299" s="1942" customFormat="1" x14ac:dyDescent="0.25"/>
    <row r="300" s="1942" customFormat="1" x14ac:dyDescent="0.25"/>
    <row r="301" s="1942" customFormat="1" x14ac:dyDescent="0.25"/>
    <row r="302" s="1942" customFormat="1" x14ac:dyDescent="0.25"/>
    <row r="303" s="1942" customFormat="1" x14ac:dyDescent="0.25"/>
    <row r="304" s="1942" customFormat="1" x14ac:dyDescent="0.25"/>
    <row r="305" s="1942" customFormat="1" x14ac:dyDescent="0.25"/>
    <row r="306" s="1942" customFormat="1" x14ac:dyDescent="0.25"/>
    <row r="307" s="1942" customFormat="1" x14ac:dyDescent="0.25"/>
    <row r="308" s="1942" customFormat="1" x14ac:dyDescent="0.25"/>
    <row r="309" s="1942" customFormat="1" x14ac:dyDescent="0.25"/>
    <row r="310" s="1942" customFormat="1" x14ac:dyDescent="0.25"/>
    <row r="311" s="1942" customFormat="1" x14ac:dyDescent="0.25"/>
    <row r="312" s="1942" customFormat="1" x14ac:dyDescent="0.25"/>
    <row r="313" s="1942" customFormat="1" x14ac:dyDescent="0.25"/>
    <row r="314" s="1942" customFormat="1" x14ac:dyDescent="0.25"/>
    <row r="315" s="1942" customFormat="1" x14ac:dyDescent="0.25"/>
    <row r="316" s="1942" customFormat="1" x14ac:dyDescent="0.25"/>
    <row r="317" s="1942" customFormat="1" x14ac:dyDescent="0.25"/>
    <row r="318" s="1942" customFormat="1" x14ac:dyDescent="0.25"/>
    <row r="319" s="1942" customFormat="1" x14ac:dyDescent="0.25"/>
    <row r="320" s="1942" customFormat="1" x14ac:dyDescent="0.25"/>
  </sheetData>
  <sheetProtection password="E593" sheet="1" objects="1" scenarios="1"/>
  <customSheetViews>
    <customSheetView guid="{B63065A1-7838-417A-8679-08A8A2B79CD8}" showPageBreaks="1" showGridLines="0" printArea="1">
      <selection activeCell="I3" sqref="I3"/>
      <rowBreaks count="1" manualBreakCount="1">
        <brk id="50" max="12" man="1"/>
      </rowBreaks>
      <pageMargins left="0.7" right="0.7" top="0.75" bottom="0.75" header="0.3" footer="0.3"/>
      <pageSetup scale="68" orientation="portrait" blackAndWhite="1" r:id="rId1"/>
      <headerFooter alignWithMargins="0"/>
    </customSheetView>
  </customSheetViews>
  <mergeCells count="51">
    <mergeCell ref="O77:W82"/>
    <mergeCell ref="D139:K141"/>
    <mergeCell ref="D137:K137"/>
    <mergeCell ref="C146:K148"/>
    <mergeCell ref="D122:K126"/>
    <mergeCell ref="T85:U87"/>
    <mergeCell ref="V85:W87"/>
    <mergeCell ref="F92:H92"/>
    <mergeCell ref="C94:K94"/>
    <mergeCell ref="F90:H90"/>
    <mergeCell ref="D129:I130"/>
    <mergeCell ref="C112:K112"/>
    <mergeCell ref="C108:K108"/>
    <mergeCell ref="C101:K107"/>
    <mergeCell ref="C110:K110"/>
    <mergeCell ref="C118:K120"/>
    <mergeCell ref="B116:L117"/>
    <mergeCell ref="O75:W76"/>
    <mergeCell ref="J51:K51"/>
    <mergeCell ref="O53:W56"/>
    <mergeCell ref="O59:W67"/>
    <mergeCell ref="O69:W73"/>
    <mergeCell ref="O50:W51"/>
    <mergeCell ref="O57:W58"/>
    <mergeCell ref="K13:L13"/>
    <mergeCell ref="C28:J28"/>
    <mergeCell ref="K10:L12"/>
    <mergeCell ref="C29:D29"/>
    <mergeCell ref="E26:F26"/>
    <mergeCell ref="C24:J24"/>
    <mergeCell ref="K14:L14"/>
    <mergeCell ref="C152:K164"/>
    <mergeCell ref="K15:L15"/>
    <mergeCell ref="H10:I10"/>
    <mergeCell ref="C2:J2"/>
    <mergeCell ref="C4:J4"/>
    <mergeCell ref="C5:J5"/>
    <mergeCell ref="C7:K9"/>
    <mergeCell ref="F10:G10"/>
    <mergeCell ref="B144:K145"/>
    <mergeCell ref="C59:I60"/>
    <mergeCell ref="C78:K78"/>
    <mergeCell ref="C82:K82"/>
    <mergeCell ref="F91:H91"/>
    <mergeCell ref="C114:K114"/>
    <mergeCell ref="I34:J34"/>
    <mergeCell ref="B151:L151"/>
    <mergeCell ref="C51:D51"/>
    <mergeCell ref="D55:E55"/>
    <mergeCell ref="D132:K135"/>
    <mergeCell ref="C100:K100"/>
  </mergeCells>
  <conditionalFormatting sqref="G26">
    <cfRule type="expression" dxfId="10" priority="22" stopIfTrue="1">
      <formula>$E$26="Average Cost:"</formula>
    </cfRule>
  </conditionalFormatting>
  <conditionalFormatting sqref="I33 I36 I34:J34">
    <cfRule type="expression" dxfId="9" priority="21" stopIfTrue="1">
      <formula>$F$33="Yes"</formula>
    </cfRule>
  </conditionalFormatting>
  <conditionalFormatting sqref="I37">
    <cfRule type="expression" dxfId="8" priority="18" stopIfTrue="1">
      <formula>$F$37="Yes"</formula>
    </cfRule>
  </conditionalFormatting>
  <conditionalFormatting sqref="I38 K38">
    <cfRule type="expression" dxfId="7" priority="17" stopIfTrue="1">
      <formula>$F$38="Yes"</formula>
    </cfRule>
  </conditionalFormatting>
  <conditionalFormatting sqref="I39">
    <cfRule type="expression" dxfId="6" priority="15" stopIfTrue="1">
      <formula>$F$39="Yes"</formula>
    </cfRule>
  </conditionalFormatting>
  <conditionalFormatting sqref="H40:K40">
    <cfRule type="expression" dxfId="5" priority="14" stopIfTrue="1">
      <formula>$F$40="Yes"</formula>
    </cfRule>
  </conditionalFormatting>
  <conditionalFormatting sqref="J51:K51 D55:E55">
    <cfRule type="expression" dxfId="4" priority="12" stopIfTrue="1">
      <formula>$F$51&lt;&gt;" "</formula>
    </cfRule>
  </conditionalFormatting>
  <conditionalFormatting sqref="K52">
    <cfRule type="expression" dxfId="3" priority="11" stopIfTrue="1">
      <formula>$C$51="Combination"</formula>
    </cfRule>
  </conditionalFormatting>
  <conditionalFormatting sqref="I55">
    <cfRule type="expression" dxfId="2" priority="9" stopIfTrue="1">
      <formula>$D$55="Yes - including vacant lots"</formula>
    </cfRule>
  </conditionalFormatting>
  <conditionalFormatting sqref="L70:L73">
    <cfRule type="expression" dxfId="1" priority="31">
      <formula>$J$65="No"</formula>
    </cfRule>
  </conditionalFormatting>
  <conditionalFormatting sqref="W52">
    <cfRule type="expression" dxfId="0" priority="2" stopIfTrue="1">
      <formula>$C$51="Combination"</formula>
    </cfRule>
  </conditionalFormatting>
  <dataValidations count="8">
    <dataValidation type="list" allowBlank="1" showInputMessage="1" showErrorMessage="1" sqref="C24">
      <formula1>"No, Yes - Based on Actual Cost, Yes - Based on the average cost to install a 3/4"" or 1"" water service for a residential customer"</formula1>
    </dataValidation>
    <dataValidation type="list" allowBlank="1" showInputMessage="1" showErrorMessage="1" sqref="C29:D29">
      <formula1>"3% one time charge, 1% per month charge"</formula1>
    </dataValidation>
    <dataValidation type="list" allowBlank="1" showInputMessage="1" showErrorMessage="1" sqref="F33 F36:F40 F95:F96 I98 J65 L70:L73 J130 L78:L80 K58:K59 L84:L85 L82">
      <formula1>"Yes, No"</formula1>
    </dataValidation>
    <dataValidation type="list" allowBlank="1" showInputMessage="1" showErrorMessage="1" sqref="I34">
      <formula1>"Yes, No - water rates only"</formula1>
    </dataValidation>
    <dataValidation type="list" allowBlank="1" showInputMessage="1" showErrorMessage="1" sqref="C51:D51">
      <formula1>"Municipal Charge, Direct Charge on Water Bill, Combination, No Change Requested"</formula1>
    </dataValidation>
    <dataValidation type="list" allowBlank="1" showInputMessage="1" showErrorMessage="1" sqref="D55:D57">
      <formula1>"No, Yes - including vacant lots"</formula1>
    </dataValidation>
    <dataValidation type="list" allowBlank="1" showInputMessage="1" showErrorMessage="1" sqref="F90:F92 G90:H90 G92:H92">
      <formula1>"Declining Block Rate, Uniform Rate, Inclining Block Rate, Seasonal Rate, Other"</formula1>
    </dataValidation>
    <dataValidation type="list" allowBlank="1" showInputMessage="1" showErrorMessage="1" sqref="J51:K51">
      <formula1>"Equivalent Meter, Equivalent Service, Square Footage, Property Value, Other"</formula1>
    </dataValidation>
  </dataValidations>
  <hyperlinks>
    <hyperlink ref="O86" r:id="rId2"/>
    <hyperlink ref="O85" r:id="rId3"/>
    <hyperlink ref="O87" r:id="rId4"/>
  </hyperlinks>
  <pageMargins left="0.7" right="0.7" top="0.75" bottom="0.75" header="0.3" footer="0.3"/>
  <pageSetup scale="68" fitToHeight="4" orientation="portrait" blackAndWhite="1" r:id="rId5"/>
  <headerFooter alignWithMargins="0"/>
  <rowBreaks count="3" manualBreakCount="3">
    <brk id="46" max="12" man="1"/>
    <brk id="76" max="12" man="1"/>
    <brk id="97" max="12" man="1"/>
  </rowBreaks>
  <ignoredErrors>
    <ignoredError sqref="C67 C69" unlockedFormula="1"/>
  </ignoredErrors>
  <drawing r:id="rId6"/>
  <legacyDrawing r:id="rId7"/>
  <oleObjects>
    <mc:AlternateContent xmlns:mc="http://schemas.openxmlformats.org/markup-compatibility/2006">
      <mc:Choice Requires="x14">
        <oleObject progId="Acrobat Document" dvAspect="DVASPECT_ICON" shapeId="23635" r:id="rId8">
          <objectPr locked="0" defaultSize="0" r:id="rId9">
            <anchor moveWithCells="1">
              <from>
                <xdr:col>19</xdr:col>
                <xdr:colOff>60960</xdr:colOff>
                <xdr:row>84</xdr:row>
                <xdr:rowOff>0</xdr:rowOff>
              </from>
              <to>
                <xdr:col>20</xdr:col>
                <xdr:colOff>327660</xdr:colOff>
                <xdr:row>87</xdr:row>
                <xdr:rowOff>129540</xdr:rowOff>
              </to>
            </anchor>
          </objectPr>
        </oleObject>
      </mc:Choice>
      <mc:Fallback>
        <oleObject progId="Acrobat Document" dvAspect="DVASPECT_ICON" shapeId="23635" r:id="rId8"/>
      </mc:Fallback>
    </mc:AlternateContent>
    <mc:AlternateContent xmlns:mc="http://schemas.openxmlformats.org/markup-compatibility/2006">
      <mc:Choice Requires="x14">
        <oleObject progId="Acrobat Document" dvAspect="DVASPECT_ICON" shapeId="23636" r:id="rId10">
          <objectPr locked="0" defaultSize="0" r:id="rId11">
            <anchor moveWithCells="1">
              <from>
                <xdr:col>20</xdr:col>
                <xdr:colOff>571500</xdr:colOff>
                <xdr:row>84</xdr:row>
                <xdr:rowOff>0</xdr:rowOff>
              </from>
              <to>
                <xdr:col>22</xdr:col>
                <xdr:colOff>228600</xdr:colOff>
                <xdr:row>87</xdr:row>
                <xdr:rowOff>129540</xdr:rowOff>
              </to>
            </anchor>
          </objectPr>
        </oleObject>
      </mc:Choice>
      <mc:Fallback>
        <oleObject progId="Acrobat Document" dvAspect="DVASPECT_ICON" shapeId="23636" r:id="rId10"/>
      </mc:Fallback>
    </mc:AlternateContent>
  </oleObjects>
  <controls>
    <mc:AlternateContent xmlns:mc="http://schemas.openxmlformats.org/markup-compatibility/2006">
      <mc:Choice Requires="x14">
        <control shapeId="23555" r:id="rId12" name="CommandButton1">
          <controlPr print="0" autoLine="0" r:id="rId13">
            <anchor moveWithCells="1">
              <from>
                <xdr:col>12</xdr:col>
                <xdr:colOff>335280</xdr:colOff>
                <xdr:row>10</xdr:row>
                <xdr:rowOff>30480</xdr:rowOff>
              </from>
              <to>
                <xdr:col>14</xdr:col>
                <xdr:colOff>297180</xdr:colOff>
                <xdr:row>14</xdr:row>
                <xdr:rowOff>160020</xdr:rowOff>
              </to>
            </anchor>
          </controlPr>
        </control>
      </mc:Choice>
      <mc:Fallback>
        <control shapeId="23555" r:id="rId12" name="CommandButton1"/>
      </mc:Fallback>
    </mc:AlternateContent>
    <mc:AlternateContent xmlns:mc="http://schemas.openxmlformats.org/markup-compatibility/2006">
      <mc:Choice Requires="x14">
        <control shapeId="23553" r:id="rId14" name="Button 1">
          <controlPr defaultSize="0" print="0" autoFill="0" autoPict="0" macro="[0]!BackMain">
            <anchor moveWithCells="1" sizeWithCells="1">
              <from>
                <xdr:col>1</xdr:col>
                <xdr:colOff>22860</xdr:colOff>
                <xdr:row>0</xdr:row>
                <xdr:rowOff>60960</xdr:rowOff>
              </from>
              <to>
                <xdr:col>1</xdr:col>
                <xdr:colOff>784860</xdr:colOff>
                <xdr:row>2</xdr:row>
                <xdr:rowOff>129540</xdr:rowOff>
              </to>
            </anchor>
          </controlPr>
        </control>
      </mc:Choice>
    </mc:AlternateContent>
    <mc:AlternateContent xmlns:mc="http://schemas.openxmlformats.org/markup-compatibility/2006">
      <mc:Choice Requires="x14">
        <control shapeId="23593" r:id="rId15" name="Button 41">
          <controlPr defaultSize="0" print="0" autoFill="0" autoPict="0" macro="[0]!BackMain">
            <anchor moveWithCells="1" sizeWithCells="1">
              <from>
                <xdr:col>10</xdr:col>
                <xdr:colOff>640080</xdr:colOff>
                <xdr:row>165</xdr:row>
                <xdr:rowOff>114300</xdr:rowOff>
              </from>
              <to>
                <xdr:col>12</xdr:col>
                <xdr:colOff>22860</xdr:colOff>
                <xdr:row>168</xdr:row>
                <xdr:rowOff>7620</xdr:rowOff>
              </to>
            </anchor>
          </controlPr>
        </control>
      </mc:Choice>
    </mc:AlternateContent>
    <mc:AlternateContent xmlns:mc="http://schemas.openxmlformats.org/markup-compatibility/2006">
      <mc:Choice Requires="x14">
        <control shapeId="23598" r:id="rId16" name="Button 46">
          <controlPr defaultSize="0" print="0" autoFill="0" autoPict="0" macro="[0]!PrintAttach17">
            <anchor moveWithCells="1" sizeWithCells="1">
              <from>
                <xdr:col>10</xdr:col>
                <xdr:colOff>0</xdr:colOff>
                <xdr:row>0</xdr:row>
                <xdr:rowOff>91440</xdr:rowOff>
              </from>
              <to>
                <xdr:col>12</xdr:col>
                <xdr:colOff>7620</xdr:colOff>
                <xdr:row>2</xdr:row>
                <xdr:rowOff>60960</xdr:rowOff>
              </to>
            </anchor>
          </controlPr>
        </control>
      </mc:Choice>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tabColor rgb="FF92D050"/>
    <pageSetUpPr fitToPage="1"/>
  </sheetPr>
  <dimension ref="A1:N438"/>
  <sheetViews>
    <sheetView showGridLines="0" topLeftCell="A47" zoomScaleNormal="100" workbookViewId="0">
      <selection activeCell="C40" sqref="C40:G55"/>
    </sheetView>
  </sheetViews>
  <sheetFormatPr defaultColWidth="9.109375" defaultRowHeight="13.2" x14ac:dyDescent="0.25"/>
  <cols>
    <col min="1" max="2" width="9.109375" style="2"/>
    <col min="3" max="3" width="22.44140625" style="2" customWidth="1"/>
    <col min="4" max="7" width="12.6640625" style="2" customWidth="1"/>
    <col min="8" max="9" width="9.109375" style="2"/>
    <col min="10" max="10" width="9.109375" style="1940"/>
    <col min="11" max="14" width="9.109375" style="1127"/>
    <col min="15" max="16384" width="9.109375" style="2"/>
  </cols>
  <sheetData>
    <row r="1" spans="1:9" x14ac:dyDescent="0.25">
      <c r="A1" s="865"/>
      <c r="B1" s="518" t="str">
        <f>TestYear &amp; " Test Year"</f>
        <v>2023 Test Year</v>
      </c>
      <c r="C1" s="475"/>
      <c r="D1" s="475"/>
      <c r="E1" s="475"/>
      <c r="F1" s="475"/>
      <c r="G1" s="865"/>
      <c r="H1" s="769" t="s">
        <v>971</v>
      </c>
      <c r="I1" s="865"/>
    </row>
    <row r="2" spans="1:9" x14ac:dyDescent="0.25">
      <c r="A2" s="865"/>
      <c r="B2" s="475"/>
      <c r="C2" s="475"/>
      <c r="D2" s="475"/>
      <c r="E2" s="475"/>
      <c r="F2" s="475"/>
      <c r="G2" s="475"/>
      <c r="H2" s="475"/>
      <c r="I2" s="79"/>
    </row>
    <row r="3" spans="1:9" ht="15" customHeight="1" x14ac:dyDescent="0.25">
      <c r="A3" s="865"/>
      <c r="B3" s="2611" t="str">
        <f>Utility</f>
        <v>Cleveland Water Utility</v>
      </c>
      <c r="C3" s="2611"/>
      <c r="D3" s="2611"/>
      <c r="E3" s="2611"/>
      <c r="F3" s="2611"/>
      <c r="G3" s="2611"/>
      <c r="H3" s="2611"/>
      <c r="I3" s="78"/>
    </row>
    <row r="4" spans="1:9" ht="15" customHeight="1" x14ac:dyDescent="0.25">
      <c r="A4" s="865"/>
      <c r="B4" s="2489" t="s">
        <v>677</v>
      </c>
      <c r="C4" s="2489"/>
      <c r="D4" s="2489"/>
      <c r="E4" s="2489"/>
      <c r="F4" s="2489"/>
      <c r="G4" s="2489"/>
      <c r="H4" s="2489"/>
      <c r="I4" s="468"/>
    </row>
    <row r="5" spans="1:9" ht="15.75" customHeight="1" thickBot="1" x14ac:dyDescent="0.3">
      <c r="A5" s="865"/>
      <c r="B5" s="2765" t="str">
        <f>CONCATENATE("Test Year ",TestYear)</f>
        <v>Test Year 2023</v>
      </c>
      <c r="C5" s="2765"/>
      <c r="D5" s="2765"/>
      <c r="E5" s="2765"/>
      <c r="F5" s="2765"/>
      <c r="G5" s="2765"/>
      <c r="H5" s="2765"/>
      <c r="I5" s="468"/>
    </row>
    <row r="6" spans="1:9" ht="41.4" customHeight="1" thickTop="1" x14ac:dyDescent="0.25">
      <c r="A6" s="865"/>
      <c r="B6" s="875"/>
      <c r="C6" s="2766" t="s">
        <v>1353</v>
      </c>
      <c r="D6" s="2766"/>
      <c r="E6" s="2766"/>
      <c r="F6" s="2766"/>
      <c r="G6" s="2766"/>
      <c r="H6" s="876"/>
      <c r="I6" s="866"/>
    </row>
    <row r="7" spans="1:9" x14ac:dyDescent="0.25">
      <c r="A7" s="865"/>
      <c r="B7" s="877"/>
      <c r="C7" s="881"/>
      <c r="D7" s="881"/>
      <c r="E7" s="881"/>
      <c r="F7" s="881"/>
      <c r="G7" s="881"/>
      <c r="H7" s="878"/>
      <c r="I7" s="866"/>
    </row>
    <row r="8" spans="1:9" x14ac:dyDescent="0.25">
      <c r="A8" s="865"/>
      <c r="B8" s="877"/>
      <c r="C8" s="881" t="s">
        <v>1354</v>
      </c>
      <c r="D8" s="881"/>
      <c r="E8" s="881"/>
      <c r="F8" s="881"/>
      <c r="G8" s="881"/>
      <c r="H8" s="878"/>
      <c r="I8" s="865"/>
    </row>
    <row r="9" spans="1:9" x14ac:dyDescent="0.25">
      <c r="A9" s="865"/>
      <c r="B9" s="877"/>
      <c r="C9" s="881" t="s">
        <v>861</v>
      </c>
      <c r="D9" s="881"/>
      <c r="E9" s="881"/>
      <c r="F9" s="881"/>
      <c r="G9" s="881"/>
      <c r="H9" s="878"/>
      <c r="I9" s="865"/>
    </row>
    <row r="10" spans="1:9" ht="10.5" customHeight="1" x14ac:dyDescent="0.25">
      <c r="A10" s="865"/>
      <c r="B10" s="880"/>
      <c r="C10" s="879"/>
      <c r="D10" s="867"/>
      <c r="E10" s="867"/>
      <c r="F10" s="867"/>
      <c r="G10" s="867"/>
      <c r="H10" s="878"/>
      <c r="I10" s="865"/>
    </row>
    <row r="11" spans="1:9" x14ac:dyDescent="0.25">
      <c r="A11" s="865"/>
      <c r="B11" s="880"/>
      <c r="C11" s="751" t="s">
        <v>678</v>
      </c>
      <c r="D11" s="867"/>
      <c r="E11" s="867"/>
      <c r="F11" s="867"/>
      <c r="G11" s="867"/>
      <c r="H11" s="878"/>
      <c r="I11" s="865"/>
    </row>
    <row r="12" spans="1:9" x14ac:dyDescent="0.25">
      <c r="A12" s="865"/>
      <c r="B12" s="877"/>
      <c r="C12" s="870"/>
      <c r="D12" s="871" t="s">
        <v>679</v>
      </c>
      <c r="E12" s="871" t="s">
        <v>680</v>
      </c>
      <c r="F12" s="871" t="s">
        <v>681</v>
      </c>
      <c r="G12" s="871" t="s">
        <v>644</v>
      </c>
      <c r="H12" s="878"/>
      <c r="I12" s="865"/>
    </row>
    <row r="13" spans="1:9" x14ac:dyDescent="0.25">
      <c r="A13" s="865"/>
      <c r="B13" s="877"/>
      <c r="C13" s="872" t="s">
        <v>682</v>
      </c>
      <c r="D13" s="872" t="s">
        <v>500</v>
      </c>
      <c r="E13" s="872" t="s">
        <v>683</v>
      </c>
      <c r="F13" s="872" t="s">
        <v>684</v>
      </c>
      <c r="G13" s="872" t="s">
        <v>685</v>
      </c>
      <c r="H13" s="878"/>
      <c r="I13" s="865"/>
    </row>
    <row r="14" spans="1:9" x14ac:dyDescent="0.25">
      <c r="A14" s="865"/>
      <c r="B14" s="877"/>
      <c r="C14" s="873" t="s">
        <v>668</v>
      </c>
      <c r="D14" s="873" t="s">
        <v>669</v>
      </c>
      <c r="E14" s="874" t="s">
        <v>686</v>
      </c>
      <c r="F14" s="873" t="s">
        <v>687</v>
      </c>
      <c r="G14" s="873" t="s">
        <v>688</v>
      </c>
      <c r="H14" s="878"/>
      <c r="I14" s="865"/>
    </row>
    <row r="15" spans="1:9" x14ac:dyDescent="0.25">
      <c r="A15" s="865"/>
      <c r="B15" s="877"/>
      <c r="C15" s="1374" t="s">
        <v>689</v>
      </c>
      <c r="D15" s="1376"/>
      <c r="E15" s="1376"/>
      <c r="F15" s="1376"/>
      <c r="G15" s="1376"/>
      <c r="H15" s="878"/>
      <c r="I15" s="865"/>
    </row>
    <row r="16" spans="1:9" x14ac:dyDescent="0.25">
      <c r="A16" s="865"/>
      <c r="B16" s="877"/>
      <c r="C16" s="1374" t="s">
        <v>689</v>
      </c>
      <c r="D16" s="1376"/>
      <c r="E16" s="1376"/>
      <c r="F16" s="1376"/>
      <c r="G16" s="1376"/>
      <c r="H16" s="878"/>
      <c r="I16" s="865"/>
    </row>
    <row r="17" spans="1:14" x14ac:dyDescent="0.25">
      <c r="A17" s="865"/>
      <c r="B17" s="877"/>
      <c r="C17" s="1374" t="s">
        <v>689</v>
      </c>
      <c r="D17" s="1376"/>
      <c r="E17" s="1376"/>
      <c r="F17" s="1376"/>
      <c r="G17" s="1376"/>
      <c r="H17" s="878"/>
      <c r="I17" s="865"/>
    </row>
    <row r="18" spans="1:14" x14ac:dyDescent="0.25">
      <c r="A18" s="865"/>
      <c r="B18" s="877"/>
      <c r="C18" s="1374" t="s">
        <v>689</v>
      </c>
      <c r="D18" s="1376"/>
      <c r="E18" s="1376"/>
      <c r="F18" s="1376"/>
      <c r="G18" s="1376"/>
      <c r="H18" s="878"/>
      <c r="I18" s="865"/>
    </row>
    <row r="19" spans="1:14" x14ac:dyDescent="0.25">
      <c r="A19" s="865"/>
      <c r="B19" s="877"/>
      <c r="C19" s="869"/>
      <c r="D19" s="869"/>
      <c r="E19" s="869"/>
      <c r="F19" s="869"/>
      <c r="G19" s="869"/>
      <c r="H19" s="878"/>
      <c r="I19" s="865"/>
    </row>
    <row r="20" spans="1:14" x14ac:dyDescent="0.25">
      <c r="A20" s="865"/>
      <c r="B20" s="877"/>
      <c r="C20" s="2755" t="s">
        <v>690</v>
      </c>
      <c r="D20" s="2756"/>
      <c r="E20" s="2756"/>
      <c r="F20" s="2757"/>
      <c r="G20" s="1375">
        <v>0</v>
      </c>
      <c r="H20" s="878"/>
      <c r="I20" s="865"/>
    </row>
    <row r="21" spans="1:14" x14ac:dyDescent="0.25">
      <c r="A21" s="865"/>
      <c r="B21" s="877"/>
      <c r="C21" s="2755" t="s">
        <v>691</v>
      </c>
      <c r="D21" s="2756"/>
      <c r="E21" s="2756"/>
      <c r="F21" s="2757"/>
      <c r="G21" s="1375">
        <v>0</v>
      </c>
      <c r="H21" s="878"/>
      <c r="I21" s="865"/>
    </row>
    <row r="22" spans="1:14" x14ac:dyDescent="0.25">
      <c r="A22" s="865"/>
      <c r="B22" s="877"/>
      <c r="C22" s="2755" t="s">
        <v>692</v>
      </c>
      <c r="D22" s="2756"/>
      <c r="E22" s="2756"/>
      <c r="F22" s="2757"/>
      <c r="G22" s="1375">
        <v>0</v>
      </c>
      <c r="H22" s="878"/>
      <c r="I22" s="865"/>
    </row>
    <row r="23" spans="1:14" x14ac:dyDescent="0.25">
      <c r="A23" s="865"/>
      <c r="B23" s="877"/>
      <c r="C23" s="2755" t="s">
        <v>693</v>
      </c>
      <c r="D23" s="2756"/>
      <c r="E23" s="2756"/>
      <c r="F23" s="2757"/>
      <c r="G23" s="1375">
        <v>0</v>
      </c>
      <c r="H23" s="878"/>
      <c r="I23" s="865"/>
    </row>
    <row r="24" spans="1:14" ht="20.25" customHeight="1" x14ac:dyDescent="0.25">
      <c r="A24" s="865"/>
      <c r="B24" s="877"/>
      <c r="C24" s="867"/>
      <c r="D24" s="867"/>
      <c r="E24" s="867"/>
      <c r="F24" s="867"/>
      <c r="G24" s="867"/>
      <c r="H24" s="878"/>
      <c r="I24" s="865"/>
    </row>
    <row r="25" spans="1:14" ht="12.75" customHeight="1" x14ac:dyDescent="0.25">
      <c r="A25" s="865"/>
      <c r="B25" s="877"/>
      <c r="C25" s="2625" t="s">
        <v>967</v>
      </c>
      <c r="D25" s="2625"/>
      <c r="E25" s="2625"/>
      <c r="F25" s="2625"/>
      <c r="G25" s="2625"/>
      <c r="H25" s="878"/>
      <c r="I25" s="865"/>
    </row>
    <row r="26" spans="1:14" x14ac:dyDescent="0.25">
      <c r="A26" s="865"/>
      <c r="B26" s="877"/>
      <c r="C26" s="2625"/>
      <c r="D26" s="2625"/>
      <c r="E26" s="2625"/>
      <c r="F26" s="2625"/>
      <c r="G26" s="2625"/>
      <c r="H26" s="878"/>
      <c r="I26" s="865"/>
    </row>
    <row r="27" spans="1:14" x14ac:dyDescent="0.25">
      <c r="A27" s="865"/>
      <c r="B27" s="877"/>
      <c r="C27" s="2625"/>
      <c r="D27" s="2625"/>
      <c r="E27" s="2625"/>
      <c r="F27" s="2625"/>
      <c r="G27" s="2625"/>
      <c r="H27" s="878"/>
      <c r="I27" s="865"/>
    </row>
    <row r="28" spans="1:14" x14ac:dyDescent="0.25">
      <c r="A28" s="865"/>
      <c r="B28" s="877"/>
      <c r="C28" s="2625"/>
      <c r="D28" s="2625"/>
      <c r="E28" s="2625"/>
      <c r="F28" s="2625"/>
      <c r="G28" s="2625"/>
      <c r="H28" s="878"/>
      <c r="I28" s="865"/>
    </row>
    <row r="29" spans="1:14" ht="10.5" customHeight="1" x14ac:dyDescent="0.25">
      <c r="A29" s="865"/>
      <c r="B29" s="877"/>
      <c r="C29" s="867"/>
      <c r="D29" s="867"/>
      <c r="E29" s="867"/>
      <c r="F29" s="867"/>
      <c r="G29" s="867"/>
      <c r="H29" s="878"/>
      <c r="I29" s="865"/>
    </row>
    <row r="30" spans="1:14" s="1371" customFormat="1" ht="15" customHeight="1" x14ac:dyDescent="0.3">
      <c r="A30" s="1367"/>
      <c r="B30" s="1368"/>
      <c r="C30" s="2753" t="s">
        <v>211</v>
      </c>
      <c r="D30" s="2758" t="s">
        <v>968</v>
      </c>
      <c r="E30" s="2759"/>
      <c r="F30" s="2758" t="s">
        <v>969</v>
      </c>
      <c r="G30" s="2762"/>
      <c r="H30" s="1369"/>
      <c r="I30" s="1367"/>
      <c r="J30" s="1955"/>
      <c r="K30" s="1370"/>
      <c r="L30" s="1370"/>
      <c r="M30" s="1370"/>
      <c r="N30" s="1370"/>
    </row>
    <row r="31" spans="1:14" s="1371" customFormat="1" ht="15" customHeight="1" x14ac:dyDescent="0.3">
      <c r="A31" s="1367"/>
      <c r="B31" s="1368"/>
      <c r="C31" s="2754"/>
      <c r="D31" s="2760"/>
      <c r="E31" s="2761"/>
      <c r="F31" s="2763"/>
      <c r="G31" s="2764"/>
      <c r="H31" s="1369"/>
      <c r="I31" s="1367"/>
      <c r="J31" s="1955"/>
      <c r="K31" s="1370"/>
      <c r="L31" s="1370"/>
      <c r="M31" s="1370"/>
      <c r="N31" s="1370"/>
    </row>
    <row r="32" spans="1:14" ht="15" customHeight="1" x14ac:dyDescent="0.25">
      <c r="A32" s="865"/>
      <c r="B32" s="877"/>
      <c r="C32" s="1365" t="s">
        <v>9</v>
      </c>
      <c r="D32" s="2747"/>
      <c r="E32" s="2748"/>
      <c r="F32" s="2751"/>
      <c r="G32" s="2752"/>
      <c r="H32" s="878"/>
      <c r="I32" s="865"/>
    </row>
    <row r="33" spans="1:9" ht="15" customHeight="1" x14ac:dyDescent="0.25">
      <c r="A33" s="865"/>
      <c r="B33" s="877"/>
      <c r="C33" s="1365" t="s">
        <v>816</v>
      </c>
      <c r="D33" s="1445"/>
      <c r="E33" s="1446"/>
      <c r="F33" s="1447"/>
      <c r="G33" s="1448"/>
      <c r="H33" s="878"/>
      <c r="I33" s="865"/>
    </row>
    <row r="34" spans="1:9" ht="15" customHeight="1" x14ac:dyDescent="0.25">
      <c r="A34" s="865"/>
      <c r="B34" s="877"/>
      <c r="C34" s="1365" t="s">
        <v>171</v>
      </c>
      <c r="D34" s="2747"/>
      <c r="E34" s="2748"/>
      <c r="F34" s="2751"/>
      <c r="G34" s="2752"/>
      <c r="H34" s="878"/>
      <c r="I34" s="865"/>
    </row>
    <row r="35" spans="1:9" ht="15" customHeight="1" x14ac:dyDescent="0.25">
      <c r="A35" s="865"/>
      <c r="B35" s="877"/>
      <c r="C35" s="1365" t="s">
        <v>10</v>
      </c>
      <c r="D35" s="2747"/>
      <c r="E35" s="2748"/>
      <c r="F35" s="2751"/>
      <c r="G35" s="2752"/>
      <c r="H35" s="878"/>
      <c r="I35" s="865"/>
    </row>
    <row r="36" spans="1:9" ht="15" customHeight="1" x14ac:dyDescent="0.25">
      <c r="A36" s="865"/>
      <c r="B36" s="877"/>
      <c r="C36" s="1365" t="s">
        <v>11</v>
      </c>
      <c r="D36" s="2749"/>
      <c r="E36" s="2750"/>
      <c r="F36" s="2751"/>
      <c r="G36" s="2752"/>
      <c r="H36" s="878"/>
      <c r="I36" s="865"/>
    </row>
    <row r="37" spans="1:9" ht="15" customHeight="1" x14ac:dyDescent="0.25">
      <c r="A37" s="865"/>
      <c r="B37" s="877"/>
      <c r="C37" s="1366" t="s">
        <v>600</v>
      </c>
      <c r="D37" s="2749"/>
      <c r="E37" s="2750"/>
      <c r="F37" s="1380"/>
      <c r="G37" s="1381"/>
      <c r="H37" s="878"/>
      <c r="I37" s="865"/>
    </row>
    <row r="38" spans="1:9" ht="20.25" customHeight="1" x14ac:dyDescent="0.25">
      <c r="A38" s="865"/>
      <c r="B38" s="877"/>
      <c r="C38" s="867"/>
      <c r="D38" s="867"/>
      <c r="E38" s="867"/>
      <c r="F38" s="867"/>
      <c r="G38" s="867"/>
      <c r="H38" s="878"/>
      <c r="I38" s="865"/>
    </row>
    <row r="39" spans="1:9" x14ac:dyDescent="0.25">
      <c r="A39" s="865"/>
      <c r="B39" s="877"/>
      <c r="C39" s="881" t="s">
        <v>694</v>
      </c>
      <c r="D39" s="867"/>
      <c r="E39" s="867"/>
      <c r="F39" s="867"/>
      <c r="G39" s="867"/>
      <c r="H39" s="878"/>
      <c r="I39" s="865"/>
    </row>
    <row r="40" spans="1:9" x14ac:dyDescent="0.25">
      <c r="A40" s="865"/>
      <c r="B40" s="877"/>
      <c r="C40" s="2738" t="s">
        <v>259</v>
      </c>
      <c r="D40" s="2739"/>
      <c r="E40" s="2739"/>
      <c r="F40" s="2739"/>
      <c r="G40" s="2740"/>
      <c r="H40" s="878"/>
      <c r="I40" s="865"/>
    </row>
    <row r="41" spans="1:9" x14ac:dyDescent="0.25">
      <c r="A41" s="865"/>
      <c r="B41" s="877"/>
      <c r="C41" s="2741"/>
      <c r="D41" s="2742"/>
      <c r="E41" s="2742"/>
      <c r="F41" s="2742"/>
      <c r="G41" s="2743"/>
      <c r="H41" s="878"/>
      <c r="I41" s="865"/>
    </row>
    <row r="42" spans="1:9" x14ac:dyDescent="0.25">
      <c r="A42" s="865"/>
      <c r="B42" s="877"/>
      <c r="C42" s="2741"/>
      <c r="D42" s="2742"/>
      <c r="E42" s="2742"/>
      <c r="F42" s="2742"/>
      <c r="G42" s="2743"/>
      <c r="H42" s="878"/>
      <c r="I42" s="865"/>
    </row>
    <row r="43" spans="1:9" x14ac:dyDescent="0.25">
      <c r="A43" s="865"/>
      <c r="B43" s="877"/>
      <c r="C43" s="2741"/>
      <c r="D43" s="2742"/>
      <c r="E43" s="2742"/>
      <c r="F43" s="2742"/>
      <c r="G43" s="2743"/>
      <c r="H43" s="878"/>
      <c r="I43" s="865"/>
    </row>
    <row r="44" spans="1:9" x14ac:dyDescent="0.25">
      <c r="A44" s="865"/>
      <c r="B44" s="877"/>
      <c r="C44" s="2741"/>
      <c r="D44" s="2742"/>
      <c r="E44" s="2742"/>
      <c r="F44" s="2742"/>
      <c r="G44" s="2743"/>
      <c r="H44" s="878"/>
      <c r="I44" s="865"/>
    </row>
    <row r="45" spans="1:9" x14ac:dyDescent="0.25">
      <c r="A45" s="865"/>
      <c r="B45" s="877"/>
      <c r="C45" s="2741"/>
      <c r="D45" s="2742"/>
      <c r="E45" s="2742"/>
      <c r="F45" s="2742"/>
      <c r="G45" s="2743"/>
      <c r="H45" s="878"/>
      <c r="I45" s="865"/>
    </row>
    <row r="46" spans="1:9" x14ac:dyDescent="0.25">
      <c r="A46" s="865"/>
      <c r="B46" s="877"/>
      <c r="C46" s="2741"/>
      <c r="D46" s="2742"/>
      <c r="E46" s="2742"/>
      <c r="F46" s="2742"/>
      <c r="G46" s="2743"/>
      <c r="H46" s="878"/>
      <c r="I46" s="865"/>
    </row>
    <row r="47" spans="1:9" x14ac:dyDescent="0.25">
      <c r="A47" s="865"/>
      <c r="B47" s="877"/>
      <c r="C47" s="2741"/>
      <c r="D47" s="2742"/>
      <c r="E47" s="2742"/>
      <c r="F47" s="2742"/>
      <c r="G47" s="2743"/>
      <c r="H47" s="878"/>
      <c r="I47" s="865"/>
    </row>
    <row r="48" spans="1:9" x14ac:dyDescent="0.25">
      <c r="A48" s="865"/>
      <c r="B48" s="877"/>
      <c r="C48" s="2741"/>
      <c r="D48" s="2742"/>
      <c r="E48" s="2742"/>
      <c r="F48" s="2742"/>
      <c r="G48" s="2743"/>
      <c r="H48" s="878"/>
      <c r="I48" s="865"/>
    </row>
    <row r="49" spans="1:9" x14ac:dyDescent="0.25">
      <c r="A49" s="865"/>
      <c r="B49" s="877"/>
      <c r="C49" s="2741"/>
      <c r="D49" s="2742"/>
      <c r="E49" s="2742"/>
      <c r="F49" s="2742"/>
      <c r="G49" s="2743"/>
      <c r="H49" s="878"/>
      <c r="I49" s="865"/>
    </row>
    <row r="50" spans="1:9" x14ac:dyDescent="0.25">
      <c r="A50" s="865"/>
      <c r="B50" s="877"/>
      <c r="C50" s="2741"/>
      <c r="D50" s="2742"/>
      <c r="E50" s="2742"/>
      <c r="F50" s="2742"/>
      <c r="G50" s="2743"/>
      <c r="H50" s="878"/>
      <c r="I50" s="865"/>
    </row>
    <row r="51" spans="1:9" x14ac:dyDescent="0.25">
      <c r="A51" s="865"/>
      <c r="B51" s="877"/>
      <c r="C51" s="2741"/>
      <c r="D51" s="2742"/>
      <c r="E51" s="2742"/>
      <c r="F51" s="2742"/>
      <c r="G51" s="2743"/>
      <c r="H51" s="878"/>
      <c r="I51" s="865"/>
    </row>
    <row r="52" spans="1:9" x14ac:dyDescent="0.25">
      <c r="A52" s="865"/>
      <c r="B52" s="877"/>
      <c r="C52" s="2741"/>
      <c r="D52" s="2742"/>
      <c r="E52" s="2742"/>
      <c r="F52" s="2742"/>
      <c r="G52" s="2743"/>
      <c r="H52" s="878"/>
      <c r="I52" s="865"/>
    </row>
    <row r="53" spans="1:9" x14ac:dyDescent="0.25">
      <c r="A53" s="865"/>
      <c r="B53" s="877"/>
      <c r="C53" s="2741"/>
      <c r="D53" s="2742"/>
      <c r="E53" s="2742"/>
      <c r="F53" s="2742"/>
      <c r="G53" s="2743"/>
      <c r="H53" s="878"/>
      <c r="I53" s="865"/>
    </row>
    <row r="54" spans="1:9" x14ac:dyDescent="0.25">
      <c r="A54" s="865"/>
      <c r="B54" s="877"/>
      <c r="C54" s="2741"/>
      <c r="D54" s="2742"/>
      <c r="E54" s="2742"/>
      <c r="F54" s="2742"/>
      <c r="G54" s="2743"/>
      <c r="H54" s="878"/>
      <c r="I54" s="865"/>
    </row>
    <row r="55" spans="1:9" x14ac:dyDescent="0.25">
      <c r="A55" s="865"/>
      <c r="B55" s="877"/>
      <c r="C55" s="2744"/>
      <c r="D55" s="2745"/>
      <c r="E55" s="2745"/>
      <c r="F55" s="2745"/>
      <c r="G55" s="2746"/>
      <c r="H55" s="878"/>
      <c r="I55" s="865"/>
    </row>
    <row r="56" spans="1:9" x14ac:dyDescent="0.25">
      <c r="A56" s="865"/>
      <c r="B56" s="877"/>
      <c r="C56" s="867"/>
      <c r="D56" s="867"/>
      <c r="E56" s="867"/>
      <c r="F56" s="867"/>
      <c r="G56" s="867"/>
      <c r="H56" s="878"/>
      <c r="I56" s="865"/>
    </row>
    <row r="57" spans="1:9" ht="13.8" thickBot="1" x14ac:dyDescent="0.3">
      <c r="A57" s="865"/>
      <c r="B57" s="882"/>
      <c r="C57" s="883"/>
      <c r="D57" s="883"/>
      <c r="E57" s="883"/>
      <c r="F57" s="883"/>
      <c r="G57" s="883"/>
      <c r="H57" s="884"/>
      <c r="I57" s="865"/>
    </row>
    <row r="58" spans="1:9" ht="13.8" thickTop="1" x14ac:dyDescent="0.25">
      <c r="A58" s="865"/>
      <c r="B58" s="865"/>
      <c r="C58" s="865"/>
      <c r="D58" s="865"/>
      <c r="E58" s="865"/>
      <c r="F58" s="865"/>
      <c r="G58" s="865"/>
      <c r="H58" s="865"/>
      <c r="I58" s="865"/>
    </row>
    <row r="59" spans="1:9" x14ac:dyDescent="0.25">
      <c r="A59" s="865"/>
      <c r="B59" s="865"/>
      <c r="C59" s="865"/>
      <c r="D59" s="865"/>
      <c r="E59" s="865"/>
      <c r="F59" s="865"/>
      <c r="G59" s="865"/>
      <c r="H59" s="865"/>
      <c r="I59" s="865"/>
    </row>
    <row r="60" spans="1:9" s="1940" customFormat="1" x14ac:dyDescent="0.25"/>
    <row r="61" spans="1:9" s="1940" customFormat="1" x14ac:dyDescent="0.25"/>
    <row r="62" spans="1:9" s="1940" customFormat="1" x14ac:dyDescent="0.25"/>
    <row r="63" spans="1:9" s="1940" customFormat="1" x14ac:dyDescent="0.25"/>
    <row r="64" spans="1:9" s="1940" customFormat="1" x14ac:dyDescent="0.25"/>
    <row r="65" s="1940" customFormat="1" x14ac:dyDescent="0.25"/>
    <row r="66" s="1940" customFormat="1" x14ac:dyDescent="0.25"/>
    <row r="67" s="1940" customFormat="1" x14ac:dyDescent="0.25"/>
    <row r="68" s="1940" customFormat="1" x14ac:dyDescent="0.25"/>
    <row r="69" s="1940" customFormat="1" x14ac:dyDescent="0.25"/>
    <row r="70" s="1940" customFormat="1" x14ac:dyDescent="0.25"/>
    <row r="71" s="1940" customFormat="1" x14ac:dyDescent="0.25"/>
    <row r="72" s="1940" customFormat="1" x14ac:dyDescent="0.25"/>
    <row r="73" s="1940" customFormat="1" x14ac:dyDescent="0.25"/>
    <row r="74" s="1940" customFormat="1" x14ac:dyDescent="0.25"/>
    <row r="75" s="1940" customFormat="1" x14ac:dyDescent="0.25"/>
    <row r="76" s="1940" customFormat="1" x14ac:dyDescent="0.25"/>
    <row r="77" s="1940" customFormat="1" x14ac:dyDescent="0.25"/>
    <row r="78" s="1940" customFormat="1" x14ac:dyDescent="0.25"/>
    <row r="79" s="1940" customFormat="1" x14ac:dyDescent="0.25"/>
    <row r="80" s="1940" customFormat="1" x14ac:dyDescent="0.25"/>
    <row r="81" s="1940" customFormat="1" x14ac:dyDescent="0.25"/>
    <row r="82" s="1940" customFormat="1" x14ac:dyDescent="0.25"/>
    <row r="83" s="1940" customFormat="1" x14ac:dyDescent="0.25"/>
    <row r="84" s="1940" customFormat="1" x14ac:dyDescent="0.25"/>
    <row r="85" s="1940" customFormat="1" x14ac:dyDescent="0.25"/>
    <row r="86" s="1940" customFormat="1" x14ac:dyDescent="0.25"/>
    <row r="87" s="1940" customFormat="1" x14ac:dyDescent="0.25"/>
    <row r="88" s="1940" customFormat="1" x14ac:dyDescent="0.25"/>
    <row r="89" s="1940" customFormat="1" x14ac:dyDescent="0.25"/>
    <row r="90" s="1940" customFormat="1" x14ac:dyDescent="0.25"/>
    <row r="91" s="1940" customFormat="1" x14ac:dyDescent="0.25"/>
    <row r="92" s="1940" customFormat="1" x14ac:dyDescent="0.25"/>
    <row r="93" s="1940" customFormat="1" x14ac:dyDescent="0.25"/>
    <row r="94" s="1940" customFormat="1" x14ac:dyDescent="0.25"/>
    <row r="95" s="1940" customFormat="1" x14ac:dyDescent="0.25"/>
    <row r="96" s="1940" customFormat="1" x14ac:dyDescent="0.25"/>
    <row r="97" s="1940" customFormat="1" x14ac:dyDescent="0.25"/>
    <row r="98" s="1940" customFormat="1" x14ac:dyDescent="0.25"/>
    <row r="99" s="1940" customFormat="1" x14ac:dyDescent="0.25"/>
    <row r="100" s="1940" customFormat="1" x14ac:dyDescent="0.25"/>
    <row r="101" s="1940" customFormat="1" x14ac:dyDescent="0.25"/>
    <row r="102" s="1940" customFormat="1" x14ac:dyDescent="0.25"/>
    <row r="103" s="1940" customFormat="1" x14ac:dyDescent="0.25"/>
    <row r="104" s="1940" customFormat="1" x14ac:dyDescent="0.25"/>
    <row r="105" s="1940" customFormat="1" x14ac:dyDescent="0.25"/>
    <row r="106" s="1940" customFormat="1" x14ac:dyDescent="0.25"/>
    <row r="107" s="1940" customFormat="1" x14ac:dyDescent="0.25"/>
    <row r="108" s="1940" customFormat="1" x14ac:dyDescent="0.25"/>
    <row r="109" s="1940" customFormat="1" x14ac:dyDescent="0.25"/>
    <row r="110" s="1940" customFormat="1" x14ac:dyDescent="0.25"/>
    <row r="111" s="1940" customFormat="1" x14ac:dyDescent="0.25"/>
    <row r="112" s="1940" customFormat="1" x14ac:dyDescent="0.25"/>
    <row r="113" s="1940" customFormat="1" x14ac:dyDescent="0.25"/>
    <row r="114" s="1940" customFormat="1" x14ac:dyDescent="0.25"/>
    <row r="115" s="1940" customFormat="1" x14ac:dyDescent="0.25"/>
    <row r="116" s="1940" customFormat="1" x14ac:dyDescent="0.25"/>
    <row r="117" s="1940" customFormat="1" x14ac:dyDescent="0.25"/>
    <row r="118" s="1940" customFormat="1" x14ac:dyDescent="0.25"/>
    <row r="119" s="1940" customFormat="1" x14ac:dyDescent="0.25"/>
    <row r="120" s="1940" customFormat="1" x14ac:dyDescent="0.25"/>
    <row r="121" s="1940" customFormat="1" x14ac:dyDescent="0.25"/>
    <row r="122" s="1940" customFormat="1" x14ac:dyDescent="0.25"/>
    <row r="123" s="1940" customFormat="1" x14ac:dyDescent="0.25"/>
    <row r="124" s="1940" customFormat="1" x14ac:dyDescent="0.25"/>
    <row r="125" s="1940" customFormat="1" x14ac:dyDescent="0.25"/>
    <row r="126" s="1940" customFormat="1" x14ac:dyDescent="0.25"/>
    <row r="127" s="1940" customFormat="1" x14ac:dyDescent="0.25"/>
    <row r="128" s="1940" customFormat="1" x14ac:dyDescent="0.25"/>
    <row r="129" s="1940" customFormat="1" x14ac:dyDescent="0.25"/>
    <row r="130" s="1940" customFormat="1" x14ac:dyDescent="0.25"/>
    <row r="131" s="1940" customFormat="1" x14ac:dyDescent="0.25"/>
    <row r="132" s="1940" customFormat="1" x14ac:dyDescent="0.25"/>
    <row r="133" s="1940" customFormat="1" x14ac:dyDescent="0.25"/>
    <row r="134" s="1940" customFormat="1" x14ac:dyDescent="0.25"/>
    <row r="135" s="1940" customFormat="1" x14ac:dyDescent="0.25"/>
    <row r="136" s="1940" customFormat="1" x14ac:dyDescent="0.25"/>
    <row r="137" s="1940" customFormat="1" x14ac:dyDescent="0.25"/>
    <row r="138" s="1940" customFormat="1" x14ac:dyDescent="0.25"/>
    <row r="139" s="1940" customFormat="1" x14ac:dyDescent="0.25"/>
    <row r="140" s="1940" customFormat="1" x14ac:dyDescent="0.25"/>
    <row r="141" s="1940" customFormat="1" x14ac:dyDescent="0.25"/>
    <row r="142" s="1940" customFormat="1" x14ac:dyDescent="0.25"/>
    <row r="143" s="1940" customFormat="1" x14ac:dyDescent="0.25"/>
    <row r="144" s="1940" customFormat="1" x14ac:dyDescent="0.25"/>
    <row r="145" s="1940" customFormat="1" x14ac:dyDescent="0.25"/>
    <row r="146" s="1940" customFormat="1" x14ac:dyDescent="0.25"/>
    <row r="147" s="1940" customFormat="1" x14ac:dyDescent="0.25"/>
    <row r="148" s="1940" customFormat="1" x14ac:dyDescent="0.25"/>
    <row r="149" s="1940" customFormat="1" x14ac:dyDescent="0.25"/>
    <row r="150" s="1940" customFormat="1" x14ac:dyDescent="0.25"/>
    <row r="151" s="1940" customFormat="1" x14ac:dyDescent="0.25"/>
    <row r="152" s="1940" customFormat="1" x14ac:dyDescent="0.25"/>
    <row r="153" s="1940" customFormat="1" x14ac:dyDescent="0.25"/>
    <row r="154" s="1940" customFormat="1" x14ac:dyDescent="0.25"/>
    <row r="155" s="1940" customFormat="1" x14ac:dyDescent="0.25"/>
    <row r="156" s="1940" customFormat="1" x14ac:dyDescent="0.25"/>
    <row r="157" s="1940" customFormat="1" x14ac:dyDescent="0.25"/>
    <row r="158" s="1940" customFormat="1" x14ac:dyDescent="0.25"/>
    <row r="159" s="1940" customFormat="1" x14ac:dyDescent="0.25"/>
    <row r="160" s="1940" customFormat="1" x14ac:dyDescent="0.25"/>
    <row r="161" s="1940" customFormat="1" x14ac:dyDescent="0.25"/>
    <row r="162" s="1940" customFormat="1" x14ac:dyDescent="0.25"/>
    <row r="163" s="1940" customFormat="1" x14ac:dyDescent="0.25"/>
    <row r="164" s="1940" customFormat="1" x14ac:dyDescent="0.25"/>
    <row r="165" s="1940" customFormat="1" x14ac:dyDescent="0.25"/>
    <row r="166" s="1940" customFormat="1" x14ac:dyDescent="0.25"/>
    <row r="167" s="1940" customFormat="1" x14ac:dyDescent="0.25"/>
    <row r="168" s="1940" customFormat="1" x14ac:dyDescent="0.25"/>
    <row r="169" s="1940" customFormat="1" x14ac:dyDescent="0.25"/>
    <row r="170" s="1940" customFormat="1" x14ac:dyDescent="0.25"/>
    <row r="171" s="1940" customFormat="1" x14ac:dyDescent="0.25"/>
    <row r="172" s="1940" customFormat="1" x14ac:dyDescent="0.25"/>
    <row r="173" s="1940" customFormat="1" x14ac:dyDescent="0.25"/>
    <row r="174" s="1940" customFormat="1" x14ac:dyDescent="0.25"/>
    <row r="175" s="1940" customFormat="1" x14ac:dyDescent="0.25"/>
    <row r="176" s="1940" customFormat="1" x14ac:dyDescent="0.25"/>
    <row r="177" s="1940" customFormat="1" x14ac:dyDescent="0.25"/>
    <row r="178" s="1940" customFormat="1" x14ac:dyDescent="0.25"/>
    <row r="179" s="1940" customFormat="1" x14ac:dyDescent="0.25"/>
    <row r="180" s="1940" customFormat="1" x14ac:dyDescent="0.25"/>
    <row r="181" s="1940" customFormat="1" x14ac:dyDescent="0.25"/>
    <row r="182" s="1940" customFormat="1" x14ac:dyDescent="0.25"/>
    <row r="183" s="1940" customFormat="1" x14ac:dyDescent="0.25"/>
    <row r="184" s="1940" customFormat="1" x14ac:dyDescent="0.25"/>
    <row r="185" s="1940" customFormat="1" x14ac:dyDescent="0.25"/>
    <row r="186" s="1940" customFormat="1" x14ac:dyDescent="0.25"/>
    <row r="187" s="1940" customFormat="1" x14ac:dyDescent="0.25"/>
    <row r="188" s="1940" customFormat="1" x14ac:dyDescent="0.25"/>
    <row r="189" s="1940" customFormat="1" x14ac:dyDescent="0.25"/>
    <row r="190" s="1940" customFormat="1" x14ac:dyDescent="0.25"/>
    <row r="191" s="1940" customFormat="1" x14ac:dyDescent="0.25"/>
    <row r="192" s="1940" customFormat="1" x14ac:dyDescent="0.25"/>
    <row r="193" s="1940" customFormat="1" x14ac:dyDescent="0.25"/>
    <row r="194" s="1940" customFormat="1" x14ac:dyDescent="0.25"/>
    <row r="195" s="1940" customFormat="1" x14ac:dyDescent="0.25"/>
    <row r="196" s="1940" customFormat="1" x14ac:dyDescent="0.25"/>
    <row r="197" s="1940" customFormat="1" x14ac:dyDescent="0.25"/>
    <row r="198" s="1940" customFormat="1" x14ac:dyDescent="0.25"/>
    <row r="199" s="1940" customFormat="1" x14ac:dyDescent="0.25"/>
    <row r="200" s="1940" customFormat="1" x14ac:dyDescent="0.25"/>
    <row r="201" s="1940" customFormat="1" x14ac:dyDescent="0.25"/>
    <row r="202" s="1940" customFormat="1" x14ac:dyDescent="0.25"/>
    <row r="203" s="1940" customFormat="1" x14ac:dyDescent="0.25"/>
    <row r="204" s="1940" customFormat="1" x14ac:dyDescent="0.25"/>
    <row r="205" s="1940" customFormat="1" x14ac:dyDescent="0.25"/>
    <row r="206" s="1940" customFormat="1" x14ac:dyDescent="0.25"/>
    <row r="207" s="1940" customFormat="1" x14ac:dyDescent="0.25"/>
    <row r="208" s="1940" customFormat="1" x14ac:dyDescent="0.25"/>
    <row r="209" s="1940" customFormat="1" x14ac:dyDescent="0.25"/>
    <row r="210" s="1940" customFormat="1" x14ac:dyDescent="0.25"/>
    <row r="211" s="1940" customFormat="1" x14ac:dyDescent="0.25"/>
    <row r="212" s="1940" customFormat="1" x14ac:dyDescent="0.25"/>
    <row r="213" s="1940" customFormat="1" x14ac:dyDescent="0.25"/>
    <row r="214" s="1940" customFormat="1" x14ac:dyDescent="0.25"/>
    <row r="215" s="1940" customFormat="1" x14ac:dyDescent="0.25"/>
    <row r="216" s="1940" customFormat="1" x14ac:dyDescent="0.25"/>
    <row r="217" s="1940" customFormat="1" x14ac:dyDescent="0.25"/>
    <row r="218" s="1940" customFormat="1" x14ac:dyDescent="0.25"/>
    <row r="219" s="1940" customFormat="1" x14ac:dyDescent="0.25"/>
    <row r="220" s="1940" customFormat="1" x14ac:dyDescent="0.25"/>
    <row r="221" s="1940" customFormat="1" x14ac:dyDescent="0.25"/>
    <row r="222" s="1940" customFormat="1" x14ac:dyDescent="0.25"/>
    <row r="223" s="1940" customFormat="1" x14ac:dyDescent="0.25"/>
    <row r="224" s="1940" customFormat="1" x14ac:dyDescent="0.25"/>
    <row r="225" s="1940" customFormat="1" x14ac:dyDescent="0.25"/>
    <row r="226" s="1940" customFormat="1" x14ac:dyDescent="0.25"/>
    <row r="227" s="1940" customFormat="1" x14ac:dyDescent="0.25"/>
    <row r="228" s="1940" customFormat="1" x14ac:dyDescent="0.25"/>
    <row r="229" s="1940" customFormat="1" x14ac:dyDescent="0.25"/>
    <row r="230" s="1940" customFormat="1" x14ac:dyDescent="0.25"/>
    <row r="231" s="1940" customFormat="1" x14ac:dyDescent="0.25"/>
    <row r="232" s="1940" customFormat="1" x14ac:dyDescent="0.25"/>
    <row r="233" s="1940" customFormat="1" x14ac:dyDescent="0.25"/>
    <row r="234" s="1940" customFormat="1" x14ac:dyDescent="0.25"/>
    <row r="235" s="1940" customFormat="1" x14ac:dyDescent="0.25"/>
    <row r="236" s="1940" customFormat="1" x14ac:dyDescent="0.25"/>
    <row r="237" s="1940" customFormat="1" x14ac:dyDescent="0.25"/>
    <row r="238" s="1940" customFormat="1" x14ac:dyDescent="0.25"/>
    <row r="239" s="1940" customFormat="1" x14ac:dyDescent="0.25"/>
    <row r="240" s="1940" customFormat="1" x14ac:dyDescent="0.25"/>
    <row r="241" s="1940" customFormat="1" x14ac:dyDescent="0.25"/>
    <row r="242" s="1940" customFormat="1" x14ac:dyDescent="0.25"/>
    <row r="243" s="1940" customFormat="1" x14ac:dyDescent="0.25"/>
    <row r="244" s="1940" customFormat="1" x14ac:dyDescent="0.25"/>
    <row r="245" s="1940" customFormat="1" x14ac:dyDescent="0.25"/>
    <row r="246" s="1940" customFormat="1" x14ac:dyDescent="0.25"/>
    <row r="247" s="1940" customFormat="1" x14ac:dyDescent="0.25"/>
    <row r="248" s="1940" customFormat="1" x14ac:dyDescent="0.25"/>
    <row r="249" s="1940" customFormat="1" x14ac:dyDescent="0.25"/>
    <row r="250" s="1940" customFormat="1" x14ac:dyDescent="0.25"/>
    <row r="251" s="1940" customFormat="1" x14ac:dyDescent="0.25"/>
    <row r="252" s="1940" customFormat="1" x14ac:dyDescent="0.25"/>
    <row r="253" s="1940" customFormat="1" x14ac:dyDescent="0.25"/>
    <row r="254" s="1940" customFormat="1" x14ac:dyDescent="0.25"/>
    <row r="255" s="1940" customFormat="1" x14ac:dyDescent="0.25"/>
    <row r="256" s="1940" customFormat="1" x14ac:dyDescent="0.25"/>
    <row r="257" s="1940" customFormat="1" x14ac:dyDescent="0.25"/>
    <row r="258" s="1940" customFormat="1" x14ac:dyDescent="0.25"/>
    <row r="259" s="1940" customFormat="1" x14ac:dyDescent="0.25"/>
    <row r="260" s="1940" customFormat="1" x14ac:dyDescent="0.25"/>
    <row r="261" s="1940" customFormat="1" x14ac:dyDescent="0.25"/>
    <row r="262" s="1940" customFormat="1" x14ac:dyDescent="0.25"/>
    <row r="263" s="1940" customFormat="1" x14ac:dyDescent="0.25"/>
    <row r="264" s="1940" customFormat="1" x14ac:dyDescent="0.25"/>
    <row r="265" s="1940" customFormat="1" x14ac:dyDescent="0.25"/>
    <row r="266" s="1940" customFormat="1" x14ac:dyDescent="0.25"/>
    <row r="267" s="1940" customFormat="1" x14ac:dyDescent="0.25"/>
    <row r="268" s="1940" customFormat="1" x14ac:dyDescent="0.25"/>
    <row r="269" s="1940" customFormat="1" x14ac:dyDescent="0.25"/>
    <row r="270" s="1940" customFormat="1" x14ac:dyDescent="0.25"/>
    <row r="271" s="1940" customFormat="1" x14ac:dyDescent="0.25"/>
    <row r="272" s="1940" customFormat="1" x14ac:dyDescent="0.25"/>
    <row r="273" s="1940" customFormat="1" x14ac:dyDescent="0.25"/>
    <row r="274" s="1940" customFormat="1" x14ac:dyDescent="0.25"/>
    <row r="275" s="1940" customFormat="1" x14ac:dyDescent="0.25"/>
    <row r="276" s="1940" customFormat="1" x14ac:dyDescent="0.25"/>
    <row r="277" s="1940" customFormat="1" x14ac:dyDescent="0.25"/>
    <row r="278" s="1940" customFormat="1" x14ac:dyDescent="0.25"/>
    <row r="279" s="1940" customFormat="1" x14ac:dyDescent="0.25"/>
    <row r="280" s="1940" customFormat="1" x14ac:dyDescent="0.25"/>
    <row r="281" s="1940" customFormat="1" x14ac:dyDescent="0.25"/>
    <row r="282" s="1940" customFormat="1" x14ac:dyDescent="0.25"/>
    <row r="283" s="1940" customFormat="1" x14ac:dyDescent="0.25"/>
    <row r="284" s="1940" customFormat="1" x14ac:dyDescent="0.25"/>
    <row r="285" s="1940" customFormat="1" x14ac:dyDescent="0.25"/>
    <row r="286" s="1940" customFormat="1" x14ac:dyDescent="0.25"/>
    <row r="287" s="1940" customFormat="1" x14ac:dyDescent="0.25"/>
    <row r="288" s="1940" customFormat="1" x14ac:dyDescent="0.25"/>
    <row r="289" s="1940" customFormat="1" x14ac:dyDescent="0.25"/>
    <row r="290" s="1940" customFormat="1" x14ac:dyDescent="0.25"/>
    <row r="291" s="1940" customFormat="1" x14ac:dyDescent="0.25"/>
    <row r="292" s="1940" customFormat="1" x14ac:dyDescent="0.25"/>
    <row r="293" s="1940" customFormat="1" x14ac:dyDescent="0.25"/>
    <row r="294" s="1940" customFormat="1" x14ac:dyDescent="0.25"/>
    <row r="295" s="1940" customFormat="1" x14ac:dyDescent="0.25"/>
    <row r="296" s="1940" customFormat="1" x14ac:dyDescent="0.25"/>
    <row r="297" s="1940" customFormat="1" x14ac:dyDescent="0.25"/>
    <row r="298" s="1940" customFormat="1" x14ac:dyDescent="0.25"/>
    <row r="299" s="1940" customFormat="1" x14ac:dyDescent="0.25"/>
    <row r="300" s="1940" customFormat="1" x14ac:dyDescent="0.25"/>
    <row r="301" s="1940" customFormat="1" x14ac:dyDescent="0.25"/>
    <row r="302" s="1940" customFormat="1" x14ac:dyDescent="0.25"/>
    <row r="303" s="1940" customFormat="1" x14ac:dyDescent="0.25"/>
    <row r="304" s="1940" customFormat="1" x14ac:dyDescent="0.25"/>
    <row r="305" s="1940" customFormat="1" x14ac:dyDescent="0.25"/>
    <row r="306" s="1940" customFormat="1" x14ac:dyDescent="0.25"/>
    <row r="307" s="1940" customFormat="1" x14ac:dyDescent="0.25"/>
    <row r="308" s="1940" customFormat="1" x14ac:dyDescent="0.25"/>
    <row r="309" s="1940" customFormat="1" x14ac:dyDescent="0.25"/>
    <row r="310" s="1940" customFormat="1" x14ac:dyDescent="0.25"/>
    <row r="311" s="1940" customFormat="1" x14ac:dyDescent="0.25"/>
    <row r="312" s="1940" customFormat="1" x14ac:dyDescent="0.25"/>
    <row r="313" s="1940" customFormat="1" x14ac:dyDescent="0.25"/>
    <row r="314" s="1940" customFormat="1" x14ac:dyDescent="0.25"/>
    <row r="315" s="1940" customFormat="1" x14ac:dyDescent="0.25"/>
    <row r="316" s="1940" customFormat="1" x14ac:dyDescent="0.25"/>
    <row r="317" s="1940" customFormat="1" x14ac:dyDescent="0.25"/>
    <row r="318" s="1940" customFormat="1" x14ac:dyDescent="0.25"/>
    <row r="319" s="1940" customFormat="1" x14ac:dyDescent="0.25"/>
    <row r="320" s="1940" customFormat="1" x14ac:dyDescent="0.25"/>
    <row r="321" s="1940" customFormat="1" x14ac:dyDescent="0.25"/>
    <row r="322" s="1940" customFormat="1" x14ac:dyDescent="0.25"/>
    <row r="323" s="1940" customFormat="1" x14ac:dyDescent="0.25"/>
    <row r="324" s="1940" customFormat="1" x14ac:dyDescent="0.25"/>
    <row r="325" s="1940" customFormat="1" x14ac:dyDescent="0.25"/>
    <row r="326" s="1940" customFormat="1" x14ac:dyDescent="0.25"/>
    <row r="327" s="1940" customFormat="1" x14ac:dyDescent="0.25"/>
    <row r="328" s="1940" customFormat="1" x14ac:dyDescent="0.25"/>
    <row r="329" s="1940" customFormat="1" x14ac:dyDescent="0.25"/>
    <row r="330" s="1940" customFormat="1" x14ac:dyDescent="0.25"/>
    <row r="331" s="1940" customFormat="1" x14ac:dyDescent="0.25"/>
    <row r="332" s="1940" customFormat="1" x14ac:dyDescent="0.25"/>
    <row r="333" s="1940" customFormat="1" x14ac:dyDescent="0.25"/>
    <row r="334" s="1940" customFormat="1" x14ac:dyDescent="0.25"/>
    <row r="335" s="1940" customFormat="1" x14ac:dyDescent="0.25"/>
    <row r="336" s="1940" customFormat="1" x14ac:dyDescent="0.25"/>
    <row r="337" s="1940" customFormat="1" x14ac:dyDescent="0.25"/>
    <row r="338" s="1940" customFormat="1" x14ac:dyDescent="0.25"/>
    <row r="339" s="1940" customFormat="1" x14ac:dyDescent="0.25"/>
    <row r="340" s="1940" customFormat="1" x14ac:dyDescent="0.25"/>
    <row r="341" s="1940" customFormat="1" x14ac:dyDescent="0.25"/>
    <row r="342" s="1940" customFormat="1" x14ac:dyDescent="0.25"/>
    <row r="343" s="1940" customFormat="1" x14ac:dyDescent="0.25"/>
    <row r="344" s="1940" customFormat="1" x14ac:dyDescent="0.25"/>
    <row r="345" s="1940" customFormat="1" x14ac:dyDescent="0.25"/>
    <row r="346" s="1940" customFormat="1" x14ac:dyDescent="0.25"/>
    <row r="347" s="1940" customFormat="1" x14ac:dyDescent="0.25"/>
    <row r="348" s="1940" customFormat="1" x14ac:dyDescent="0.25"/>
    <row r="349" s="1940" customFormat="1" x14ac:dyDescent="0.25"/>
    <row r="350" s="1940" customFormat="1" x14ac:dyDescent="0.25"/>
    <row r="351" s="1940" customFormat="1" x14ac:dyDescent="0.25"/>
    <row r="352" s="1940" customFormat="1" x14ac:dyDescent="0.25"/>
    <row r="353" s="1940" customFormat="1" x14ac:dyDescent="0.25"/>
    <row r="354" s="1940" customFormat="1" x14ac:dyDescent="0.25"/>
    <row r="355" s="1940" customFormat="1" x14ac:dyDescent="0.25"/>
    <row r="356" s="1940" customFormat="1" x14ac:dyDescent="0.25"/>
    <row r="357" s="1940" customFormat="1" x14ac:dyDescent="0.25"/>
    <row r="358" s="1940" customFormat="1" x14ac:dyDescent="0.25"/>
    <row r="359" s="1940" customFormat="1" x14ac:dyDescent="0.25"/>
    <row r="360" s="1940" customFormat="1" x14ac:dyDescent="0.25"/>
    <row r="361" s="1940" customFormat="1" x14ac:dyDescent="0.25"/>
    <row r="362" s="1940" customFormat="1" x14ac:dyDescent="0.25"/>
    <row r="363" s="1940" customFormat="1" x14ac:dyDescent="0.25"/>
    <row r="364" s="1940" customFormat="1" x14ac:dyDescent="0.25"/>
    <row r="365" s="1940" customFormat="1" x14ac:dyDescent="0.25"/>
    <row r="366" s="1940" customFormat="1" x14ac:dyDescent="0.25"/>
    <row r="367" s="1940" customFormat="1" x14ac:dyDescent="0.25"/>
    <row r="368" s="1940" customFormat="1" x14ac:dyDescent="0.25"/>
    <row r="369" s="1940" customFormat="1" x14ac:dyDescent="0.25"/>
    <row r="370" s="1940" customFormat="1" x14ac:dyDescent="0.25"/>
    <row r="371" s="1940" customFormat="1" x14ac:dyDescent="0.25"/>
    <row r="372" s="1940" customFormat="1" x14ac:dyDescent="0.25"/>
    <row r="373" s="1940" customFormat="1" x14ac:dyDescent="0.25"/>
    <row r="374" s="1940" customFormat="1" x14ac:dyDescent="0.25"/>
    <row r="375" s="1940" customFormat="1" x14ac:dyDescent="0.25"/>
    <row r="376" s="1940" customFormat="1" x14ac:dyDescent="0.25"/>
    <row r="377" s="1940" customFormat="1" x14ac:dyDescent="0.25"/>
    <row r="378" s="1940" customFormat="1" x14ac:dyDescent="0.25"/>
    <row r="379" s="1940" customFormat="1" x14ac:dyDescent="0.25"/>
    <row r="380" s="1940" customFormat="1" x14ac:dyDescent="0.25"/>
    <row r="381" s="1940" customFormat="1" x14ac:dyDescent="0.25"/>
    <row r="382" s="1940" customFormat="1" x14ac:dyDescent="0.25"/>
    <row r="383" s="1940" customFormat="1" x14ac:dyDescent="0.25"/>
    <row r="384" s="1940" customFormat="1" x14ac:dyDescent="0.25"/>
    <row r="385" s="1940" customFormat="1" x14ac:dyDescent="0.25"/>
    <row r="386" s="1940" customFormat="1" x14ac:dyDescent="0.25"/>
    <row r="387" s="1940" customFormat="1" x14ac:dyDescent="0.25"/>
    <row r="388" s="1940" customFormat="1" x14ac:dyDescent="0.25"/>
    <row r="389" s="1940" customFormat="1" x14ac:dyDescent="0.25"/>
    <row r="390" s="1940" customFormat="1" x14ac:dyDescent="0.25"/>
    <row r="391" s="1940" customFormat="1" x14ac:dyDescent="0.25"/>
    <row r="392" s="1940" customFormat="1" x14ac:dyDescent="0.25"/>
    <row r="393" s="1940" customFormat="1" x14ac:dyDescent="0.25"/>
    <row r="394" s="1940" customFormat="1" x14ac:dyDescent="0.25"/>
    <row r="395" s="1940" customFormat="1" x14ac:dyDescent="0.25"/>
    <row r="396" s="1940" customFormat="1" x14ac:dyDescent="0.25"/>
    <row r="397" s="1940" customFormat="1" x14ac:dyDescent="0.25"/>
    <row r="398" s="1940" customFormat="1" x14ac:dyDescent="0.25"/>
    <row r="399" s="1940" customFormat="1" x14ac:dyDescent="0.25"/>
    <row r="400" s="1940" customFormat="1" x14ac:dyDescent="0.25"/>
    <row r="401" s="1940" customFormat="1" x14ac:dyDescent="0.25"/>
    <row r="402" s="1940" customFormat="1" x14ac:dyDescent="0.25"/>
    <row r="403" s="1940" customFormat="1" x14ac:dyDescent="0.25"/>
    <row r="404" s="1940" customFormat="1" x14ac:dyDescent="0.25"/>
    <row r="405" s="1940" customFormat="1" x14ac:dyDescent="0.25"/>
    <row r="406" s="1940" customFormat="1" x14ac:dyDescent="0.25"/>
    <row r="407" s="1940" customFormat="1" x14ac:dyDescent="0.25"/>
    <row r="408" s="1940" customFormat="1" x14ac:dyDescent="0.25"/>
    <row r="409" s="1940" customFormat="1" x14ac:dyDescent="0.25"/>
    <row r="410" s="1940" customFormat="1" x14ac:dyDescent="0.25"/>
    <row r="411" s="1940" customFormat="1" x14ac:dyDescent="0.25"/>
    <row r="412" s="1940" customFormat="1" x14ac:dyDescent="0.25"/>
    <row r="413" s="1940" customFormat="1" x14ac:dyDescent="0.25"/>
    <row r="414" s="1940" customFormat="1" x14ac:dyDescent="0.25"/>
    <row r="415" s="1940" customFormat="1" x14ac:dyDescent="0.25"/>
    <row r="416" s="1940" customFormat="1" x14ac:dyDescent="0.25"/>
    <row r="417" s="1940" customFormat="1" x14ac:dyDescent="0.25"/>
    <row r="418" s="1940" customFormat="1" x14ac:dyDescent="0.25"/>
    <row r="419" s="1940" customFormat="1" x14ac:dyDescent="0.25"/>
    <row r="420" s="1940" customFormat="1" x14ac:dyDescent="0.25"/>
    <row r="421" s="1940" customFormat="1" x14ac:dyDescent="0.25"/>
    <row r="422" s="1940" customFormat="1" x14ac:dyDescent="0.25"/>
    <row r="423" s="1940" customFormat="1" x14ac:dyDescent="0.25"/>
    <row r="424" s="1940" customFormat="1" x14ac:dyDescent="0.25"/>
    <row r="425" s="1940" customFormat="1" x14ac:dyDescent="0.25"/>
    <row r="426" s="1940" customFormat="1" x14ac:dyDescent="0.25"/>
    <row r="427" s="1940" customFormat="1" x14ac:dyDescent="0.25"/>
    <row r="428" s="1940" customFormat="1" x14ac:dyDescent="0.25"/>
    <row r="429" s="1940" customFormat="1" x14ac:dyDescent="0.25"/>
    <row r="430" s="1940" customFormat="1" x14ac:dyDescent="0.25"/>
    <row r="431" s="1940" customFormat="1" x14ac:dyDescent="0.25"/>
    <row r="432" s="1940" customFormat="1" x14ac:dyDescent="0.25"/>
    <row r="433" s="1940" customFormat="1" x14ac:dyDescent="0.25"/>
    <row r="434" s="1940" customFormat="1" x14ac:dyDescent="0.25"/>
    <row r="435" s="1940" customFormat="1" x14ac:dyDescent="0.25"/>
    <row r="436" s="1940" customFormat="1" x14ac:dyDescent="0.25"/>
    <row r="437" s="1940" customFormat="1" x14ac:dyDescent="0.25"/>
    <row r="438" s="1940" customFormat="1" x14ac:dyDescent="0.25"/>
  </sheetData>
  <sheetProtection password="E593" sheet="1" objects="1" scenarios="1"/>
  <customSheetViews>
    <customSheetView guid="{B63065A1-7838-417A-8679-08A8A2B79CD8}" showPageBreaks="1" showGridLines="0" fitToPage="1" printArea="1">
      <selection activeCell="I3" sqref="I3"/>
      <pageMargins left="0.7" right="0.7" top="0.75" bottom="0.75" header="0.3" footer="0.3"/>
      <pageSetup scale="82" orientation="portrait" blackAndWhite="1" r:id="rId1"/>
    </customSheetView>
  </customSheetViews>
  <mergeCells count="22">
    <mergeCell ref="B3:H3"/>
    <mergeCell ref="B4:H4"/>
    <mergeCell ref="B5:H5"/>
    <mergeCell ref="C23:F23"/>
    <mergeCell ref="C20:F20"/>
    <mergeCell ref="C21:F21"/>
    <mergeCell ref="C6:G6"/>
    <mergeCell ref="D32:E32"/>
    <mergeCell ref="C30:C31"/>
    <mergeCell ref="C22:F22"/>
    <mergeCell ref="D30:E31"/>
    <mergeCell ref="F35:G35"/>
    <mergeCell ref="D35:E35"/>
    <mergeCell ref="F32:G32"/>
    <mergeCell ref="F30:G31"/>
    <mergeCell ref="C25:G28"/>
    <mergeCell ref="C40:G55"/>
    <mergeCell ref="D34:E34"/>
    <mergeCell ref="D36:E36"/>
    <mergeCell ref="D37:E37"/>
    <mergeCell ref="F36:G36"/>
    <mergeCell ref="F34:G34"/>
  </mergeCells>
  <pageMargins left="0.7" right="0.7" top="0.75" bottom="0.75" header="0.3" footer="0.3"/>
  <pageSetup scale="82"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25601" r:id="rId5" name="Button 1">
              <controlPr defaultSize="0" print="0" autoFill="0" autoPict="0" macro="[0]!BackMain">
                <anchor moveWithCells="1" sizeWithCells="1">
                  <from>
                    <xdr:col>1</xdr:col>
                    <xdr:colOff>30480</xdr:colOff>
                    <xdr:row>2</xdr:row>
                    <xdr:rowOff>114300</xdr:rowOff>
                  </from>
                  <to>
                    <xdr:col>2</xdr:col>
                    <xdr:colOff>167640</xdr:colOff>
                    <xdr:row>4</xdr:row>
                    <xdr:rowOff>114300</xdr:rowOff>
                  </to>
                </anchor>
              </controlPr>
            </control>
          </mc:Choice>
        </mc:AlternateContent>
        <mc:AlternateContent xmlns:mc="http://schemas.openxmlformats.org/markup-compatibility/2006">
          <mc:Choice Requires="x14">
            <control shapeId="25602" r:id="rId6" name="Button 2">
              <controlPr defaultSize="0" print="0" autoFill="0" autoPict="0" macro="[0]!PrintAttach18">
                <anchor moveWithCells="1" sizeWithCells="1">
                  <from>
                    <xdr:col>6</xdr:col>
                    <xdr:colOff>129540</xdr:colOff>
                    <xdr:row>2</xdr:row>
                    <xdr:rowOff>114300</xdr:rowOff>
                  </from>
                  <to>
                    <xdr:col>8</xdr:col>
                    <xdr:colOff>7620</xdr:colOff>
                    <xdr:row>4</xdr:row>
                    <xdr:rowOff>99060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R43"/>
  <sheetViews>
    <sheetView showGridLines="0" topLeftCell="A6" zoomScaleNormal="100" workbookViewId="0">
      <selection activeCell="B8" sqref="B8:K40"/>
    </sheetView>
  </sheetViews>
  <sheetFormatPr defaultColWidth="10.33203125" defaultRowHeight="13.2" x14ac:dyDescent="0.25"/>
  <cols>
    <col min="1" max="6" width="10.33203125" style="57"/>
    <col min="7" max="7" width="82.109375" style="57" customWidth="1"/>
    <col min="8" max="11" width="10.33203125" style="57"/>
    <col min="12" max="13" width="5" style="57" customWidth="1"/>
    <col min="14" max="14" width="10.33203125" style="57" customWidth="1"/>
    <col min="15" max="15" width="11.5546875" style="57" customWidth="1"/>
    <col min="16" max="16" width="21.109375" style="57" customWidth="1"/>
    <col min="17" max="17" width="5" style="57" customWidth="1"/>
    <col min="18" max="16384" width="10.33203125" style="57"/>
  </cols>
  <sheetData>
    <row r="1" spans="1:18" x14ac:dyDescent="0.25">
      <c r="A1" s="928"/>
      <c r="B1" s="1546" t="str">
        <f>TestYear &amp; " Test Year"</f>
        <v>2023 Test Year</v>
      </c>
      <c r="C1" s="1547"/>
      <c r="D1" s="1547"/>
      <c r="E1" s="1547"/>
      <c r="F1" s="1547"/>
      <c r="G1" s="1547"/>
      <c r="H1" s="1547"/>
      <c r="I1" s="1547"/>
      <c r="J1" s="1547"/>
      <c r="K1" s="1548" t="s">
        <v>695</v>
      </c>
      <c r="L1" s="928"/>
      <c r="M1" s="928"/>
      <c r="N1" s="928"/>
      <c r="O1" s="928"/>
      <c r="P1" s="928"/>
      <c r="Q1" s="928"/>
      <c r="R1" s="928"/>
    </row>
    <row r="2" spans="1:18" x14ac:dyDescent="0.25">
      <c r="A2" s="928"/>
      <c r="B2" s="1547"/>
      <c r="C2" s="2768" t="str">
        <f>Utility</f>
        <v>Cleveland Water Utility</v>
      </c>
      <c r="D2" s="2768"/>
      <c r="E2" s="2768"/>
      <c r="F2" s="2768"/>
      <c r="G2" s="2768"/>
      <c r="H2" s="2768"/>
      <c r="I2" s="2768"/>
      <c r="J2" s="2768"/>
      <c r="K2" s="1547"/>
      <c r="L2" s="928"/>
      <c r="M2" s="928"/>
      <c r="N2" s="928"/>
      <c r="O2" s="928"/>
      <c r="P2" s="928"/>
      <c r="Q2" s="928"/>
      <c r="R2" s="928"/>
    </row>
    <row r="3" spans="1:18" x14ac:dyDescent="0.25">
      <c r="A3" s="928"/>
      <c r="B3" s="1549"/>
      <c r="C3" s="2769">
        <f>TestYear</f>
        <v>2023</v>
      </c>
      <c r="D3" s="2769"/>
      <c r="E3" s="2769"/>
      <c r="F3" s="2769"/>
      <c r="G3" s="2769"/>
      <c r="H3" s="2769"/>
      <c r="I3" s="2769"/>
      <c r="J3" s="2769"/>
      <c r="K3" s="1547"/>
      <c r="L3" s="928"/>
      <c r="M3" s="928"/>
      <c r="N3" s="928"/>
      <c r="O3" s="928"/>
      <c r="P3" s="928"/>
      <c r="Q3" s="928"/>
      <c r="R3" s="928"/>
    </row>
    <row r="4" spans="1:18" x14ac:dyDescent="0.25">
      <c r="A4" s="928"/>
      <c r="B4" s="1547"/>
      <c r="C4" s="2770" t="s">
        <v>1322</v>
      </c>
      <c r="D4" s="2770"/>
      <c r="E4" s="2770"/>
      <c r="F4" s="2770"/>
      <c r="G4" s="2770"/>
      <c r="H4" s="2770"/>
      <c r="I4" s="2770"/>
      <c r="J4" s="2770"/>
      <c r="K4" s="1547"/>
      <c r="L4" s="928"/>
      <c r="M4" s="928"/>
      <c r="N4" s="928"/>
      <c r="O4" s="928"/>
      <c r="P4" s="928"/>
      <c r="Q4" s="928"/>
      <c r="R4" s="928"/>
    </row>
    <row r="5" spans="1:18" x14ac:dyDescent="0.25">
      <c r="A5" s="928"/>
      <c r="B5" s="1547"/>
      <c r="C5" s="1547"/>
      <c r="D5" s="1547"/>
      <c r="E5" s="1547"/>
      <c r="F5" s="1547"/>
      <c r="G5" s="1547"/>
      <c r="H5" s="1547"/>
      <c r="I5" s="1547"/>
      <c r="J5" s="1547"/>
      <c r="K5" s="1547"/>
      <c r="L5" s="928"/>
      <c r="M5" s="928"/>
      <c r="N5" s="928"/>
      <c r="O5" s="928"/>
      <c r="P5" s="928"/>
      <c r="Q5" s="928"/>
      <c r="R5" s="928"/>
    </row>
    <row r="6" spans="1:18" x14ac:dyDescent="0.25">
      <c r="A6" s="928"/>
      <c r="B6" s="1279"/>
      <c r="C6" s="1279"/>
      <c r="D6" s="1279"/>
      <c r="E6" s="1279"/>
      <c r="F6" s="1279"/>
      <c r="G6" s="1279"/>
      <c r="H6" s="1279"/>
      <c r="I6" s="1279"/>
      <c r="J6" s="1279"/>
      <c r="K6" s="1279"/>
      <c r="L6" s="928"/>
      <c r="M6" s="928"/>
      <c r="N6" s="928"/>
      <c r="O6" s="928"/>
      <c r="P6" s="928"/>
      <c r="Q6" s="928"/>
      <c r="R6" s="928"/>
    </row>
    <row r="7" spans="1:18" ht="13.8" thickBot="1" x14ac:dyDescent="0.3">
      <c r="A7" s="928"/>
      <c r="B7" s="928"/>
      <c r="C7" s="928"/>
      <c r="D7" s="928"/>
      <c r="E7" s="928"/>
      <c r="F7" s="928"/>
      <c r="G7" s="928"/>
      <c r="H7" s="928"/>
      <c r="I7" s="928"/>
      <c r="J7" s="928"/>
      <c r="K7" s="928"/>
      <c r="L7" s="928"/>
      <c r="M7" s="928"/>
      <c r="N7" s="928"/>
      <c r="O7" s="928"/>
      <c r="P7" s="928"/>
      <c r="Q7" s="928"/>
      <c r="R7" s="928"/>
    </row>
    <row r="8" spans="1:18" ht="409.5" customHeight="1" x14ac:dyDescent="0.25">
      <c r="A8" s="928"/>
      <c r="B8" s="2771" t="s">
        <v>1546</v>
      </c>
      <c r="C8" s="2772"/>
      <c r="D8" s="2772"/>
      <c r="E8" s="2772"/>
      <c r="F8" s="2772"/>
      <c r="G8" s="2772"/>
      <c r="H8" s="2772"/>
      <c r="I8" s="2772"/>
      <c r="J8" s="2772"/>
      <c r="K8" s="2773"/>
      <c r="L8" s="928"/>
      <c r="M8" s="928"/>
      <c r="N8" s="1638"/>
      <c r="O8" s="1638"/>
      <c r="P8" s="1638"/>
      <c r="Q8" s="928"/>
      <c r="R8" s="928"/>
    </row>
    <row r="9" spans="1:18" ht="409.5" customHeight="1" x14ac:dyDescent="0.25">
      <c r="A9" s="928"/>
      <c r="B9" s="2774"/>
      <c r="C9" s="2775"/>
      <c r="D9" s="2775"/>
      <c r="E9" s="2775"/>
      <c r="F9" s="2775"/>
      <c r="G9" s="2775"/>
      <c r="H9" s="2775"/>
      <c r="I9" s="2775"/>
      <c r="J9" s="2775"/>
      <c r="K9" s="2776"/>
      <c r="L9" s="928"/>
      <c r="M9" s="928"/>
      <c r="N9" s="1638"/>
      <c r="O9" s="1638"/>
      <c r="P9" s="1638"/>
      <c r="Q9" s="928"/>
      <c r="R9" s="928"/>
    </row>
    <row r="10" spans="1:18" ht="409.5" customHeight="1" x14ac:dyDescent="0.25">
      <c r="A10" s="928"/>
      <c r="B10" s="2774"/>
      <c r="C10" s="2775"/>
      <c r="D10" s="2775"/>
      <c r="E10" s="2775"/>
      <c r="F10" s="2775"/>
      <c r="G10" s="2775"/>
      <c r="H10" s="2775"/>
      <c r="I10" s="2775"/>
      <c r="J10" s="2775"/>
      <c r="K10" s="2776"/>
      <c r="L10" s="928"/>
      <c r="M10" s="928"/>
      <c r="N10" s="2767"/>
      <c r="O10" s="2767"/>
      <c r="P10" s="2767"/>
      <c r="Q10" s="928"/>
      <c r="R10" s="928"/>
    </row>
    <row r="11" spans="1:18" x14ac:dyDescent="0.25">
      <c r="A11" s="928"/>
      <c r="B11" s="2774"/>
      <c r="C11" s="2775"/>
      <c r="D11" s="2775"/>
      <c r="E11" s="2775"/>
      <c r="F11" s="2775"/>
      <c r="G11" s="2775"/>
      <c r="H11" s="2775"/>
      <c r="I11" s="2775"/>
      <c r="J11" s="2775"/>
      <c r="K11" s="2776"/>
      <c r="L11" s="928"/>
      <c r="M11" s="928"/>
      <c r="N11" s="928"/>
      <c r="O11" s="928"/>
      <c r="P11" s="928"/>
      <c r="Q11" s="928"/>
      <c r="R11" s="928"/>
    </row>
    <row r="12" spans="1:18" x14ac:dyDescent="0.25">
      <c r="A12" s="928"/>
      <c r="B12" s="2774"/>
      <c r="C12" s="2775"/>
      <c r="D12" s="2775"/>
      <c r="E12" s="2775"/>
      <c r="F12" s="2775"/>
      <c r="G12" s="2775"/>
      <c r="H12" s="2775"/>
      <c r="I12" s="2775"/>
      <c r="J12" s="2775"/>
      <c r="K12" s="2776"/>
      <c r="L12" s="928"/>
      <c r="M12" s="928"/>
      <c r="N12" s="928"/>
      <c r="O12" s="928"/>
      <c r="P12" s="928"/>
      <c r="Q12" s="928"/>
      <c r="R12" s="928"/>
    </row>
    <row r="13" spans="1:18" x14ac:dyDescent="0.25">
      <c r="A13" s="928"/>
      <c r="B13" s="2774"/>
      <c r="C13" s="2775"/>
      <c r="D13" s="2775"/>
      <c r="E13" s="2775"/>
      <c r="F13" s="2775"/>
      <c r="G13" s="2775"/>
      <c r="H13" s="2775"/>
      <c r="I13" s="2775"/>
      <c r="J13" s="2775"/>
      <c r="K13" s="2776"/>
      <c r="L13" s="928"/>
      <c r="M13" s="928"/>
      <c r="N13" s="928"/>
      <c r="O13" s="928"/>
      <c r="P13" s="928"/>
      <c r="Q13" s="928"/>
      <c r="R13" s="928"/>
    </row>
    <row r="14" spans="1:18" x14ac:dyDescent="0.25">
      <c r="A14" s="928"/>
      <c r="B14" s="2774"/>
      <c r="C14" s="2775"/>
      <c r="D14" s="2775"/>
      <c r="E14" s="2775"/>
      <c r="F14" s="2775"/>
      <c r="G14" s="2775"/>
      <c r="H14" s="2775"/>
      <c r="I14" s="2775"/>
      <c r="J14" s="2775"/>
      <c r="K14" s="2776"/>
      <c r="L14" s="928"/>
      <c r="M14" s="928"/>
      <c r="N14" s="928"/>
      <c r="O14" s="928"/>
      <c r="P14" s="928"/>
      <c r="Q14" s="928"/>
      <c r="R14" s="928"/>
    </row>
    <row r="15" spans="1:18" x14ac:dyDescent="0.25">
      <c r="A15" s="928"/>
      <c r="B15" s="2774"/>
      <c r="C15" s="2775"/>
      <c r="D15" s="2775"/>
      <c r="E15" s="2775"/>
      <c r="F15" s="2775"/>
      <c r="G15" s="2775"/>
      <c r="H15" s="2775"/>
      <c r="I15" s="2775"/>
      <c r="J15" s="2775"/>
      <c r="K15" s="2776"/>
      <c r="L15" s="928"/>
      <c r="M15" s="928"/>
      <c r="N15" s="928"/>
      <c r="O15" s="928"/>
      <c r="P15" s="928"/>
      <c r="Q15" s="928"/>
      <c r="R15" s="928"/>
    </row>
    <row r="16" spans="1:18" x14ac:dyDescent="0.25">
      <c r="A16" s="928"/>
      <c r="B16" s="2774"/>
      <c r="C16" s="2775"/>
      <c r="D16" s="2775"/>
      <c r="E16" s="2775"/>
      <c r="F16" s="2775"/>
      <c r="G16" s="2775"/>
      <c r="H16" s="2775"/>
      <c r="I16" s="2775"/>
      <c r="J16" s="2775"/>
      <c r="K16" s="2776"/>
      <c r="L16" s="928"/>
      <c r="M16" s="928"/>
      <c r="N16" s="928"/>
      <c r="O16" s="928"/>
      <c r="P16" s="928"/>
      <c r="Q16" s="928"/>
      <c r="R16" s="928"/>
    </row>
    <row r="17" spans="1:18" x14ac:dyDescent="0.25">
      <c r="A17" s="928"/>
      <c r="B17" s="2774"/>
      <c r="C17" s="2775"/>
      <c r="D17" s="2775"/>
      <c r="E17" s="2775"/>
      <c r="F17" s="2775"/>
      <c r="G17" s="2775"/>
      <c r="H17" s="2775"/>
      <c r="I17" s="2775"/>
      <c r="J17" s="2775"/>
      <c r="K17" s="2776"/>
      <c r="L17" s="928"/>
      <c r="M17" s="928"/>
      <c r="N17" s="928"/>
      <c r="O17" s="928"/>
      <c r="P17" s="928"/>
      <c r="Q17" s="928"/>
      <c r="R17" s="928"/>
    </row>
    <row r="18" spans="1:18" x14ac:dyDescent="0.25">
      <c r="A18" s="928"/>
      <c r="B18" s="2774"/>
      <c r="C18" s="2775"/>
      <c r="D18" s="2775"/>
      <c r="E18" s="2775"/>
      <c r="F18" s="2775"/>
      <c r="G18" s="2775"/>
      <c r="H18" s="2775"/>
      <c r="I18" s="2775"/>
      <c r="J18" s="2775"/>
      <c r="K18" s="2776"/>
      <c r="L18" s="928"/>
      <c r="M18" s="928"/>
      <c r="N18" s="928"/>
      <c r="O18" s="928"/>
      <c r="P18" s="928"/>
      <c r="Q18" s="928"/>
      <c r="R18" s="928"/>
    </row>
    <row r="19" spans="1:18" x14ac:dyDescent="0.25">
      <c r="A19" s="928"/>
      <c r="B19" s="2774"/>
      <c r="C19" s="2775"/>
      <c r="D19" s="2775"/>
      <c r="E19" s="2775"/>
      <c r="F19" s="2775"/>
      <c r="G19" s="2775"/>
      <c r="H19" s="2775"/>
      <c r="I19" s="2775"/>
      <c r="J19" s="2775"/>
      <c r="K19" s="2776"/>
      <c r="L19" s="928"/>
      <c r="M19" s="928"/>
      <c r="N19" s="928"/>
      <c r="O19" s="928"/>
      <c r="P19" s="928"/>
      <c r="Q19" s="928"/>
      <c r="R19" s="928"/>
    </row>
    <row r="20" spans="1:18" x14ac:dyDescent="0.25">
      <c r="A20" s="928"/>
      <c r="B20" s="2774"/>
      <c r="C20" s="2775"/>
      <c r="D20" s="2775"/>
      <c r="E20" s="2775"/>
      <c r="F20" s="2775"/>
      <c r="G20" s="2775"/>
      <c r="H20" s="2775"/>
      <c r="I20" s="2775"/>
      <c r="J20" s="2775"/>
      <c r="K20" s="2776"/>
      <c r="L20" s="928"/>
      <c r="M20" s="928"/>
      <c r="N20" s="928"/>
      <c r="O20" s="928"/>
      <c r="P20" s="928"/>
      <c r="Q20" s="928"/>
      <c r="R20" s="928"/>
    </row>
    <row r="21" spans="1:18" x14ac:dyDescent="0.25">
      <c r="A21" s="928"/>
      <c r="B21" s="2774"/>
      <c r="C21" s="2775"/>
      <c r="D21" s="2775"/>
      <c r="E21" s="2775"/>
      <c r="F21" s="2775"/>
      <c r="G21" s="2775"/>
      <c r="H21" s="2775"/>
      <c r="I21" s="2775"/>
      <c r="J21" s="2775"/>
      <c r="K21" s="2776"/>
      <c r="L21" s="928"/>
      <c r="M21" s="928"/>
      <c r="N21" s="928"/>
      <c r="O21" s="928"/>
      <c r="P21" s="928"/>
      <c r="Q21" s="928"/>
      <c r="R21" s="928"/>
    </row>
    <row r="22" spans="1:18" x14ac:dyDescent="0.25">
      <c r="A22" s="928"/>
      <c r="B22" s="2774"/>
      <c r="C22" s="2775"/>
      <c r="D22" s="2775"/>
      <c r="E22" s="2775"/>
      <c r="F22" s="2775"/>
      <c r="G22" s="2775"/>
      <c r="H22" s="2775"/>
      <c r="I22" s="2775"/>
      <c r="J22" s="2775"/>
      <c r="K22" s="2776"/>
      <c r="L22" s="928"/>
      <c r="M22" s="928"/>
      <c r="N22" s="928"/>
      <c r="O22" s="928"/>
      <c r="P22" s="928"/>
      <c r="Q22" s="928"/>
      <c r="R22" s="928"/>
    </row>
    <row r="23" spans="1:18" x14ac:dyDescent="0.25">
      <c r="A23" s="928"/>
      <c r="B23" s="2774"/>
      <c r="C23" s="2775"/>
      <c r="D23" s="2775"/>
      <c r="E23" s="2775"/>
      <c r="F23" s="2775"/>
      <c r="G23" s="2775"/>
      <c r="H23" s="2775"/>
      <c r="I23" s="2775"/>
      <c r="J23" s="2775"/>
      <c r="K23" s="2776"/>
      <c r="L23" s="928"/>
      <c r="M23" s="928"/>
      <c r="N23" s="928"/>
      <c r="O23" s="928"/>
      <c r="P23" s="928"/>
      <c r="Q23" s="928"/>
      <c r="R23" s="928"/>
    </row>
    <row r="24" spans="1:18" x14ac:dyDescent="0.25">
      <c r="A24" s="928"/>
      <c r="B24" s="2774"/>
      <c r="C24" s="2775"/>
      <c r="D24" s="2775"/>
      <c r="E24" s="2775"/>
      <c r="F24" s="2775"/>
      <c r="G24" s="2775"/>
      <c r="H24" s="2775"/>
      <c r="I24" s="2775"/>
      <c r="J24" s="2775"/>
      <c r="K24" s="2776"/>
      <c r="L24" s="928"/>
      <c r="M24" s="928"/>
      <c r="N24" s="928"/>
      <c r="O24" s="928"/>
      <c r="P24" s="928"/>
      <c r="Q24" s="928"/>
      <c r="R24" s="928"/>
    </row>
    <row r="25" spans="1:18" x14ac:dyDescent="0.25">
      <c r="A25" s="928"/>
      <c r="B25" s="2774"/>
      <c r="C25" s="2775"/>
      <c r="D25" s="2775"/>
      <c r="E25" s="2775"/>
      <c r="F25" s="2775"/>
      <c r="G25" s="2775"/>
      <c r="H25" s="2775"/>
      <c r="I25" s="2775"/>
      <c r="J25" s="2775"/>
      <c r="K25" s="2776"/>
      <c r="L25" s="928"/>
      <c r="M25" s="928"/>
      <c r="N25" s="928"/>
      <c r="O25" s="928"/>
      <c r="P25" s="928"/>
      <c r="Q25" s="928"/>
      <c r="R25" s="928"/>
    </row>
    <row r="26" spans="1:18" x14ac:dyDescent="0.25">
      <c r="A26" s="928"/>
      <c r="B26" s="2774"/>
      <c r="C26" s="2775"/>
      <c r="D26" s="2775"/>
      <c r="E26" s="2775"/>
      <c r="F26" s="2775"/>
      <c r="G26" s="2775"/>
      <c r="H26" s="2775"/>
      <c r="I26" s="2775"/>
      <c r="J26" s="2775"/>
      <c r="K26" s="2776"/>
      <c r="L26" s="928"/>
      <c r="M26" s="928"/>
      <c r="N26" s="928"/>
      <c r="O26" s="928"/>
      <c r="P26" s="928"/>
      <c r="Q26" s="928"/>
      <c r="R26" s="928"/>
    </row>
    <row r="27" spans="1:18" x14ac:dyDescent="0.25">
      <c r="A27" s="928"/>
      <c r="B27" s="2774"/>
      <c r="C27" s="2775"/>
      <c r="D27" s="2775"/>
      <c r="E27" s="2775"/>
      <c r="F27" s="2775"/>
      <c r="G27" s="2775"/>
      <c r="H27" s="2775"/>
      <c r="I27" s="2775"/>
      <c r="J27" s="2775"/>
      <c r="K27" s="2776"/>
      <c r="L27" s="928"/>
      <c r="M27" s="928"/>
      <c r="N27" s="928"/>
      <c r="O27" s="928"/>
      <c r="P27" s="928"/>
      <c r="Q27" s="928"/>
      <c r="R27" s="928"/>
    </row>
    <row r="28" spans="1:18" x14ac:dyDescent="0.25">
      <c r="A28" s="928"/>
      <c r="B28" s="2774"/>
      <c r="C28" s="2775"/>
      <c r="D28" s="2775"/>
      <c r="E28" s="2775"/>
      <c r="F28" s="2775"/>
      <c r="G28" s="2775"/>
      <c r="H28" s="2775"/>
      <c r="I28" s="2775"/>
      <c r="J28" s="2775"/>
      <c r="K28" s="2776"/>
      <c r="L28" s="928"/>
      <c r="M28" s="928"/>
      <c r="N28" s="928"/>
      <c r="O28" s="928"/>
      <c r="P28" s="928"/>
      <c r="Q28" s="928"/>
      <c r="R28" s="928"/>
    </row>
    <row r="29" spans="1:18" x14ac:dyDescent="0.25">
      <c r="A29" s="928"/>
      <c r="B29" s="2774"/>
      <c r="C29" s="2775"/>
      <c r="D29" s="2775"/>
      <c r="E29" s="2775"/>
      <c r="F29" s="2775"/>
      <c r="G29" s="2775"/>
      <c r="H29" s="2775"/>
      <c r="I29" s="2775"/>
      <c r="J29" s="2775"/>
      <c r="K29" s="2776"/>
      <c r="L29" s="928"/>
      <c r="M29" s="928"/>
      <c r="N29" s="928"/>
      <c r="O29" s="928"/>
      <c r="P29" s="928"/>
      <c r="Q29" s="928"/>
      <c r="R29" s="928"/>
    </row>
    <row r="30" spans="1:18" x14ac:dyDescent="0.25">
      <c r="A30" s="928"/>
      <c r="B30" s="2774"/>
      <c r="C30" s="2775"/>
      <c r="D30" s="2775"/>
      <c r="E30" s="2775"/>
      <c r="F30" s="2775"/>
      <c r="G30" s="2775"/>
      <c r="H30" s="2775"/>
      <c r="I30" s="2775"/>
      <c r="J30" s="2775"/>
      <c r="K30" s="2776"/>
      <c r="L30" s="928"/>
      <c r="M30" s="928"/>
      <c r="N30" s="928"/>
      <c r="O30" s="928"/>
      <c r="P30" s="928"/>
      <c r="Q30" s="928"/>
      <c r="R30" s="928"/>
    </row>
    <row r="31" spans="1:18" x14ac:dyDescent="0.25">
      <c r="A31" s="928"/>
      <c r="B31" s="2774"/>
      <c r="C31" s="2775"/>
      <c r="D31" s="2775"/>
      <c r="E31" s="2775"/>
      <c r="F31" s="2775"/>
      <c r="G31" s="2775"/>
      <c r="H31" s="2775"/>
      <c r="I31" s="2775"/>
      <c r="J31" s="2775"/>
      <c r="K31" s="2776"/>
      <c r="L31" s="928"/>
      <c r="M31" s="928"/>
      <c r="N31" s="928"/>
      <c r="O31" s="928"/>
      <c r="P31" s="928"/>
      <c r="Q31" s="928"/>
      <c r="R31" s="928"/>
    </row>
    <row r="32" spans="1:18" x14ac:dyDescent="0.25">
      <c r="A32" s="928"/>
      <c r="B32" s="2774"/>
      <c r="C32" s="2775"/>
      <c r="D32" s="2775"/>
      <c r="E32" s="2775"/>
      <c r="F32" s="2775"/>
      <c r="G32" s="2775"/>
      <c r="H32" s="2775"/>
      <c r="I32" s="2775"/>
      <c r="J32" s="2775"/>
      <c r="K32" s="2776"/>
      <c r="L32" s="928"/>
      <c r="M32" s="928"/>
      <c r="N32" s="928"/>
      <c r="O32" s="928"/>
      <c r="P32" s="928"/>
      <c r="Q32" s="928"/>
      <c r="R32" s="928"/>
    </row>
    <row r="33" spans="1:18" x14ac:dyDescent="0.25">
      <c r="A33" s="928"/>
      <c r="B33" s="2774"/>
      <c r="C33" s="2775"/>
      <c r="D33" s="2775"/>
      <c r="E33" s="2775"/>
      <c r="F33" s="2775"/>
      <c r="G33" s="2775"/>
      <c r="H33" s="2775"/>
      <c r="I33" s="2775"/>
      <c r="J33" s="2775"/>
      <c r="K33" s="2776"/>
      <c r="L33" s="928"/>
      <c r="M33" s="928"/>
      <c r="N33" s="928"/>
      <c r="O33" s="928"/>
      <c r="P33" s="928"/>
      <c r="Q33" s="928"/>
      <c r="R33" s="928"/>
    </row>
    <row r="34" spans="1:18" x14ac:dyDescent="0.25">
      <c r="A34" s="928"/>
      <c r="B34" s="2774"/>
      <c r="C34" s="2775"/>
      <c r="D34" s="2775"/>
      <c r="E34" s="2775"/>
      <c r="F34" s="2775"/>
      <c r="G34" s="2775"/>
      <c r="H34" s="2775"/>
      <c r="I34" s="2775"/>
      <c r="J34" s="2775"/>
      <c r="K34" s="2776"/>
      <c r="L34" s="928"/>
      <c r="M34" s="928"/>
      <c r="N34" s="928"/>
      <c r="O34" s="928"/>
      <c r="P34" s="928"/>
      <c r="Q34" s="928"/>
      <c r="R34" s="928"/>
    </row>
    <row r="35" spans="1:18" x14ac:dyDescent="0.25">
      <c r="A35" s="928"/>
      <c r="B35" s="2774"/>
      <c r="C35" s="2775"/>
      <c r="D35" s="2775"/>
      <c r="E35" s="2775"/>
      <c r="F35" s="2775"/>
      <c r="G35" s="2775"/>
      <c r="H35" s="2775"/>
      <c r="I35" s="2775"/>
      <c r="J35" s="2775"/>
      <c r="K35" s="2776"/>
      <c r="L35" s="928"/>
      <c r="M35" s="928"/>
      <c r="N35" s="928"/>
      <c r="O35" s="928"/>
      <c r="P35" s="928"/>
      <c r="Q35" s="928"/>
      <c r="R35" s="928"/>
    </row>
    <row r="36" spans="1:18" x14ac:dyDescent="0.25">
      <c r="A36" s="928"/>
      <c r="B36" s="2774"/>
      <c r="C36" s="2775"/>
      <c r="D36" s="2775"/>
      <c r="E36" s="2775"/>
      <c r="F36" s="2775"/>
      <c r="G36" s="2775"/>
      <c r="H36" s="2775"/>
      <c r="I36" s="2775"/>
      <c r="J36" s="2775"/>
      <c r="K36" s="2776"/>
      <c r="L36" s="928"/>
      <c r="M36" s="928"/>
      <c r="N36" s="928"/>
      <c r="O36" s="928"/>
      <c r="P36" s="928"/>
      <c r="Q36" s="928"/>
      <c r="R36" s="928"/>
    </row>
    <row r="37" spans="1:18" x14ac:dyDescent="0.25">
      <c r="A37" s="928"/>
      <c r="B37" s="2774"/>
      <c r="C37" s="2775"/>
      <c r="D37" s="2775"/>
      <c r="E37" s="2775"/>
      <c r="F37" s="2775"/>
      <c r="G37" s="2775"/>
      <c r="H37" s="2775"/>
      <c r="I37" s="2775"/>
      <c r="J37" s="2775"/>
      <c r="K37" s="2776"/>
      <c r="L37" s="928"/>
      <c r="M37" s="928"/>
      <c r="N37" s="928"/>
      <c r="O37" s="928"/>
      <c r="P37" s="928"/>
      <c r="Q37" s="928"/>
      <c r="R37" s="928"/>
    </row>
    <row r="38" spans="1:18" x14ac:dyDescent="0.25">
      <c r="A38" s="928"/>
      <c r="B38" s="2774"/>
      <c r="C38" s="2775"/>
      <c r="D38" s="2775"/>
      <c r="E38" s="2775"/>
      <c r="F38" s="2775"/>
      <c r="G38" s="2775"/>
      <c r="H38" s="2775"/>
      <c r="I38" s="2775"/>
      <c r="J38" s="2775"/>
      <c r="K38" s="2776"/>
      <c r="L38" s="928"/>
      <c r="M38" s="928"/>
      <c r="N38" s="928"/>
      <c r="O38" s="928"/>
      <c r="P38" s="928"/>
      <c r="Q38" s="928"/>
      <c r="R38" s="928"/>
    </row>
    <row r="39" spans="1:18" x14ac:dyDescent="0.25">
      <c r="A39" s="928"/>
      <c r="B39" s="2774"/>
      <c r="C39" s="2775"/>
      <c r="D39" s="2775"/>
      <c r="E39" s="2775"/>
      <c r="F39" s="2775"/>
      <c r="G39" s="2775"/>
      <c r="H39" s="2775"/>
      <c r="I39" s="2775"/>
      <c r="J39" s="2775"/>
      <c r="K39" s="2776"/>
      <c r="L39" s="928"/>
      <c r="M39" s="928"/>
      <c r="N39" s="928"/>
      <c r="O39" s="928"/>
      <c r="P39" s="928"/>
      <c r="Q39" s="928"/>
      <c r="R39" s="928"/>
    </row>
    <row r="40" spans="1:18" ht="13.8" thickBot="1" x14ac:dyDescent="0.3">
      <c r="A40" s="928"/>
      <c r="B40" s="2777"/>
      <c r="C40" s="2778"/>
      <c r="D40" s="2778"/>
      <c r="E40" s="2778"/>
      <c r="F40" s="2778"/>
      <c r="G40" s="2778"/>
      <c r="H40" s="2778"/>
      <c r="I40" s="2778"/>
      <c r="J40" s="2778"/>
      <c r="K40" s="2779"/>
      <c r="L40" s="928"/>
      <c r="M40" s="928"/>
      <c r="N40" s="928"/>
      <c r="O40" s="928"/>
      <c r="P40" s="928"/>
      <c r="Q40" s="928"/>
      <c r="R40" s="928"/>
    </row>
    <row r="41" spans="1:18" x14ac:dyDescent="0.25">
      <c r="A41" s="928"/>
      <c r="B41" s="928"/>
      <c r="C41" s="928"/>
      <c r="D41" s="928"/>
      <c r="E41" s="928"/>
      <c r="F41" s="928"/>
      <c r="G41" s="928"/>
      <c r="H41" s="928"/>
      <c r="I41" s="928"/>
      <c r="J41" s="928"/>
      <c r="K41" s="928"/>
      <c r="L41" s="928"/>
      <c r="M41" s="928"/>
      <c r="N41" s="928"/>
      <c r="O41" s="928"/>
      <c r="P41" s="928"/>
      <c r="Q41" s="928"/>
      <c r="R41" s="928"/>
    </row>
    <row r="42" spans="1:18" x14ac:dyDescent="0.25">
      <c r="A42" s="928"/>
      <c r="B42" s="928"/>
      <c r="C42" s="928"/>
      <c r="D42" s="928"/>
      <c r="E42" s="928"/>
      <c r="F42" s="928"/>
      <c r="G42" s="928"/>
      <c r="H42" s="928"/>
      <c r="I42" s="928"/>
      <c r="J42" s="928"/>
      <c r="K42" s="928"/>
      <c r="L42" s="928"/>
      <c r="M42" s="928"/>
      <c r="N42" s="928"/>
      <c r="O42" s="928"/>
      <c r="P42" s="928"/>
      <c r="Q42" s="928"/>
      <c r="R42" s="928"/>
    </row>
    <row r="43" spans="1:18" x14ac:dyDescent="0.25">
      <c r="A43" s="928"/>
      <c r="B43" s="928"/>
      <c r="C43" s="928"/>
      <c r="D43" s="928"/>
      <c r="E43" s="928"/>
      <c r="F43" s="928"/>
      <c r="G43" s="928"/>
      <c r="H43" s="928"/>
      <c r="I43" s="928"/>
      <c r="J43" s="928"/>
      <c r="K43" s="928"/>
      <c r="L43" s="928"/>
      <c r="M43" s="928"/>
      <c r="N43" s="928"/>
      <c r="O43" s="928"/>
      <c r="P43" s="928"/>
      <c r="Q43" s="928"/>
      <c r="R43" s="928"/>
    </row>
  </sheetData>
  <sheetProtection password="E593" sheet="1" objects="1" scenarios="1"/>
  <customSheetViews>
    <customSheetView guid="{B63065A1-7838-417A-8679-08A8A2B79CD8}" scale="85" showPageBreaks="1" showGridLines="0" fitToPage="1" printArea="1">
      <selection activeCell="I3" sqref="I3"/>
      <pageMargins left="0.75" right="0.75" top="1" bottom="1" header="0.5" footer="0.5"/>
      <pageSetup scale="72" orientation="portrait" r:id="rId1"/>
      <headerFooter alignWithMargins="0"/>
    </customSheetView>
  </customSheetViews>
  <mergeCells count="5">
    <mergeCell ref="N10:P10"/>
    <mergeCell ref="C2:J2"/>
    <mergeCell ref="C3:J3"/>
    <mergeCell ref="C4:J4"/>
    <mergeCell ref="B8:K40"/>
  </mergeCells>
  <pageMargins left="0.75" right="0.75" top="1" bottom="1" header="0.5" footer="0.5"/>
  <pageSetup scale="36"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6625" r:id="rId5" name="Button 1">
              <controlPr defaultSize="0" print="0" autoFill="0" autoPict="0" macro="[0]!BackMain">
                <anchor moveWithCells="1" sizeWithCells="1">
                  <from>
                    <xdr:col>1</xdr:col>
                    <xdr:colOff>60960</xdr:colOff>
                    <xdr:row>2</xdr:row>
                    <xdr:rowOff>68580</xdr:rowOff>
                  </from>
                  <to>
                    <xdr:col>2</xdr:col>
                    <xdr:colOff>144780</xdr:colOff>
                    <xdr:row>5</xdr:row>
                    <xdr:rowOff>7620</xdr:rowOff>
                  </to>
                </anchor>
              </controlPr>
            </control>
          </mc:Choice>
        </mc:AlternateContent>
        <mc:AlternateContent xmlns:mc="http://schemas.openxmlformats.org/markup-compatibility/2006">
          <mc:Choice Requires="x14">
            <control shapeId="26627" r:id="rId6" name="Button 3">
              <controlPr defaultSize="0" print="0" autoFill="0" autoPict="0" macro="[0]!PrintAttach19">
                <anchor moveWithCells="1" sizeWithCells="1">
                  <from>
                    <xdr:col>8</xdr:col>
                    <xdr:colOff>205740</xdr:colOff>
                    <xdr:row>2</xdr:row>
                    <xdr:rowOff>45720</xdr:rowOff>
                  </from>
                  <to>
                    <xdr:col>10</xdr:col>
                    <xdr:colOff>662940</xdr:colOff>
                    <xdr:row>4</xdr:row>
                    <xdr:rowOff>137160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R125"/>
  <sheetViews>
    <sheetView showGridLines="0" zoomScaleNormal="100" workbookViewId="0">
      <selection activeCell="C82" sqref="C82"/>
    </sheetView>
  </sheetViews>
  <sheetFormatPr defaultRowHeight="14.4" x14ac:dyDescent="0.3"/>
  <cols>
    <col min="1" max="1" width="9.109375" style="1718" customWidth="1"/>
    <col min="4" max="4" width="11" customWidth="1"/>
    <col min="5" max="5" width="11.109375" customWidth="1"/>
    <col min="6" max="7" width="12.33203125" customWidth="1"/>
    <col min="10" max="10" width="10.6640625" customWidth="1"/>
    <col min="16" max="16" width="5.5546875" customWidth="1"/>
  </cols>
  <sheetData>
    <row r="1" spans="1:14" ht="38.700000000000003" customHeight="1" x14ac:dyDescent="0.3">
      <c r="A1" s="2132"/>
      <c r="B1" s="434"/>
      <c r="C1" s="2132"/>
      <c r="D1" s="472"/>
      <c r="E1" s="472"/>
      <c r="F1" s="472"/>
      <c r="G1" s="472"/>
      <c r="H1" s="472"/>
      <c r="I1" s="472"/>
      <c r="J1" s="472"/>
      <c r="K1" s="472"/>
      <c r="L1" s="2132"/>
      <c r="M1" s="2133"/>
      <c r="N1" s="2132"/>
    </row>
    <row r="2" spans="1:14" x14ac:dyDescent="0.3">
      <c r="A2" s="2132"/>
      <c r="B2" s="472"/>
      <c r="C2" s="472"/>
      <c r="D2" s="2566" t="str">
        <f>Utility</f>
        <v>Cleveland Water Utility</v>
      </c>
      <c r="E2" s="2566"/>
      <c r="F2" s="2566"/>
      <c r="G2" s="2566"/>
      <c r="H2" s="2566"/>
      <c r="I2" s="2566"/>
      <c r="J2" s="2566"/>
      <c r="K2" s="2566"/>
      <c r="L2" s="472"/>
      <c r="M2" s="2132"/>
      <c r="N2" s="2132"/>
    </row>
    <row r="3" spans="1:14" x14ac:dyDescent="0.3">
      <c r="A3" s="2132"/>
      <c r="B3" s="472"/>
      <c r="C3" s="1129"/>
      <c r="D3" s="2611">
        <f>TestYear</f>
        <v>2023</v>
      </c>
      <c r="E3" s="2611"/>
      <c r="F3" s="2611"/>
      <c r="G3" s="2611"/>
      <c r="H3" s="2611"/>
      <c r="I3" s="2611"/>
      <c r="J3" s="2611"/>
      <c r="K3" s="2611"/>
      <c r="L3" s="472"/>
      <c r="M3" s="2132"/>
      <c r="N3" s="2132"/>
    </row>
    <row r="4" spans="1:14" ht="15" thickBot="1" x14ac:dyDescent="0.35">
      <c r="A4" s="2132"/>
      <c r="B4" s="434" t="str">
        <f>TestYear &amp; " Test Year"</f>
        <v>2023 Test Year</v>
      </c>
      <c r="C4" s="2153"/>
      <c r="D4" s="2787" t="s">
        <v>1024</v>
      </c>
      <c r="E4" s="2787"/>
      <c r="F4" s="2787"/>
      <c r="G4" s="2787"/>
      <c r="H4" s="2787"/>
      <c r="I4" s="2787"/>
      <c r="J4" s="2787"/>
      <c r="K4" s="2787"/>
      <c r="L4" s="472"/>
      <c r="M4" s="2133" t="s">
        <v>1023</v>
      </c>
      <c r="N4" s="2132"/>
    </row>
    <row r="5" spans="1:14" ht="15.6" x14ac:dyDescent="0.3">
      <c r="A5" s="1157"/>
      <c r="B5" s="2134"/>
      <c r="C5" s="481" t="s">
        <v>1025</v>
      </c>
      <c r="D5" s="2152"/>
      <c r="E5" s="2152"/>
      <c r="F5" s="2152"/>
      <c r="G5" s="2152"/>
      <c r="H5" s="2152"/>
      <c r="I5" s="2152"/>
      <c r="J5" s="2152"/>
      <c r="K5" s="2152"/>
      <c r="L5" s="2152"/>
      <c r="M5" s="2135"/>
      <c r="N5" s="1157"/>
    </row>
    <row r="6" spans="1:14" ht="39.450000000000003" customHeight="1" x14ac:dyDescent="0.3">
      <c r="A6" s="1157"/>
      <c r="B6" s="2136"/>
      <c r="C6" s="2486" t="s">
        <v>1355</v>
      </c>
      <c r="D6" s="2486"/>
      <c r="E6" s="2486"/>
      <c r="F6" s="2486"/>
      <c r="G6" s="2486"/>
      <c r="H6" s="2486"/>
      <c r="I6" s="2486"/>
      <c r="J6" s="2486"/>
      <c r="K6" s="2486"/>
      <c r="L6" s="2486"/>
      <c r="M6" s="2137"/>
      <c r="N6" s="1157"/>
    </row>
    <row r="7" spans="1:14" x14ac:dyDescent="0.3">
      <c r="A7" s="1157"/>
      <c r="B7" s="2136"/>
      <c r="C7" s="477" t="s">
        <v>1314</v>
      </c>
      <c r="D7" s="477"/>
      <c r="E7" s="477"/>
      <c r="F7" s="477"/>
      <c r="G7" s="477"/>
      <c r="H7" s="477"/>
      <c r="I7" s="477"/>
      <c r="J7" s="477"/>
      <c r="K7" s="477"/>
      <c r="L7" s="477"/>
      <c r="M7" s="2137"/>
      <c r="N7" s="1157"/>
    </row>
    <row r="8" spans="1:14" x14ac:dyDescent="0.3">
      <c r="A8" s="1157"/>
      <c r="B8" s="2136"/>
      <c r="C8" s="477" t="s">
        <v>1026</v>
      </c>
      <c r="D8" s="477"/>
      <c r="E8" s="477"/>
      <c r="F8" s="477"/>
      <c r="G8" s="477"/>
      <c r="H8" s="477"/>
      <c r="I8" s="477"/>
      <c r="J8" s="477"/>
      <c r="K8" s="477"/>
      <c r="L8" s="477"/>
      <c r="M8" s="2137"/>
      <c r="N8" s="1157"/>
    </row>
    <row r="9" spans="1:14" x14ac:dyDescent="0.3">
      <c r="A9" s="1157"/>
      <c r="B9" s="2136"/>
      <c r="C9" s="481"/>
      <c r="D9" s="477"/>
      <c r="E9" s="477"/>
      <c r="F9" s="477"/>
      <c r="G9" s="477"/>
      <c r="H9" s="477"/>
      <c r="I9" s="662">
        <f>D3-3</f>
        <v>2020</v>
      </c>
      <c r="J9" s="662">
        <f>D3-2</f>
        <v>2021</v>
      </c>
      <c r="K9" s="662">
        <f>D3-1</f>
        <v>2022</v>
      </c>
      <c r="L9" s="662">
        <f>D3</f>
        <v>2023</v>
      </c>
      <c r="M9" s="2137"/>
      <c r="N9" s="1157"/>
    </row>
    <row r="10" spans="1:14" x14ac:dyDescent="0.3">
      <c r="A10" s="1157"/>
      <c r="B10" s="2136"/>
      <c r="C10" s="477"/>
      <c r="D10" s="477" t="s">
        <v>1027</v>
      </c>
      <c r="E10" s="477"/>
      <c r="F10" s="477"/>
      <c r="G10" s="477"/>
      <c r="H10" s="477"/>
      <c r="I10" s="1550">
        <v>5827</v>
      </c>
      <c r="J10" s="1550">
        <v>5492</v>
      </c>
      <c r="K10" s="1550">
        <v>5699</v>
      </c>
      <c r="L10" s="1550">
        <v>6500</v>
      </c>
      <c r="M10" s="2137"/>
      <c r="N10" s="1157"/>
    </row>
    <row r="11" spans="1:14" x14ac:dyDescent="0.3">
      <c r="A11" s="1157"/>
      <c r="B11" s="2136"/>
      <c r="C11" s="477"/>
      <c r="D11" s="477" t="s">
        <v>1028</v>
      </c>
      <c r="E11" s="477"/>
      <c r="F11" s="477"/>
      <c r="G11" s="477"/>
      <c r="H11" s="477"/>
      <c r="I11" s="1550">
        <v>12890</v>
      </c>
      <c r="J11" s="1550">
        <v>12008</v>
      </c>
      <c r="K11" s="1550">
        <v>13290</v>
      </c>
      <c r="L11" s="1550">
        <v>15120</v>
      </c>
      <c r="M11" s="2137"/>
      <c r="N11" s="1157"/>
    </row>
    <row r="12" spans="1:14" x14ac:dyDescent="0.3">
      <c r="A12" s="1157"/>
      <c r="B12" s="2136"/>
      <c r="C12" s="477"/>
      <c r="D12" s="477" t="s">
        <v>1029</v>
      </c>
      <c r="E12" s="477"/>
      <c r="F12" s="477"/>
      <c r="G12" s="477"/>
      <c r="H12" s="477"/>
      <c r="I12" s="1550">
        <v>655</v>
      </c>
      <c r="J12" s="1550">
        <v>562</v>
      </c>
      <c r="K12" s="1550">
        <v>600</v>
      </c>
      <c r="L12" s="1550">
        <v>700</v>
      </c>
      <c r="M12" s="2137"/>
      <c r="N12" s="1157"/>
    </row>
    <row r="13" spans="1:14" x14ac:dyDescent="0.3">
      <c r="A13" s="1157"/>
      <c r="B13" s="2136"/>
      <c r="C13" s="477"/>
      <c r="D13" s="2788" t="s">
        <v>1513</v>
      </c>
      <c r="E13" s="2788"/>
      <c r="F13" s="2788"/>
      <c r="G13" s="2788"/>
      <c r="H13" s="477"/>
      <c r="I13" s="1550">
        <v>10</v>
      </c>
      <c r="J13" s="1550">
        <v>376</v>
      </c>
      <c r="K13" s="1550">
        <v>500</v>
      </c>
      <c r="L13" s="1550">
        <v>1000</v>
      </c>
      <c r="M13" s="2137"/>
      <c r="N13" s="1157"/>
    </row>
    <row r="14" spans="1:14" x14ac:dyDescent="0.3">
      <c r="A14" s="1157"/>
      <c r="B14" s="2136"/>
      <c r="C14" s="477"/>
      <c r="D14" s="2788" t="s">
        <v>1514</v>
      </c>
      <c r="E14" s="2788"/>
      <c r="F14" s="2788"/>
      <c r="G14" s="2788"/>
      <c r="H14" s="477"/>
      <c r="I14" s="1550">
        <v>90</v>
      </c>
      <c r="J14" s="1550">
        <v>45</v>
      </c>
      <c r="K14" s="1550">
        <v>0</v>
      </c>
      <c r="L14" s="1550">
        <v>180</v>
      </c>
      <c r="M14" s="2137"/>
      <c r="N14" s="1157"/>
    </row>
    <row r="15" spans="1:14" x14ac:dyDescent="0.3">
      <c r="A15" s="1157"/>
      <c r="B15" s="2136"/>
      <c r="C15" s="477"/>
      <c r="D15" s="477"/>
      <c r="E15" s="477"/>
      <c r="F15" s="477"/>
      <c r="G15" s="477"/>
      <c r="H15" s="477"/>
      <c r="I15" s="477"/>
      <c r="J15" s="477"/>
      <c r="K15" s="477"/>
      <c r="L15" s="477"/>
      <c r="M15" s="2137"/>
      <c r="N15" s="1157"/>
    </row>
    <row r="16" spans="1:14" x14ac:dyDescent="0.3">
      <c r="A16" s="1157"/>
      <c r="B16" s="2136"/>
      <c r="C16" s="477"/>
      <c r="D16" s="481" t="s">
        <v>1031</v>
      </c>
      <c r="E16" s="477"/>
      <c r="F16" s="477"/>
      <c r="G16" s="477"/>
      <c r="H16" s="477"/>
      <c r="I16" s="1550">
        <v>19472</v>
      </c>
      <c r="J16" s="1550">
        <v>18483</v>
      </c>
      <c r="K16" s="1550">
        <v>20089</v>
      </c>
      <c r="L16" s="1550">
        <v>23500</v>
      </c>
      <c r="M16" s="2137"/>
      <c r="N16" s="1157"/>
    </row>
    <row r="17" spans="1:14" x14ac:dyDescent="0.3">
      <c r="A17" s="1157"/>
      <c r="B17" s="2136"/>
      <c r="C17" s="477"/>
      <c r="D17" s="477"/>
      <c r="E17" s="477"/>
      <c r="F17" s="477"/>
      <c r="G17" s="477"/>
      <c r="H17" s="477"/>
      <c r="I17" s="2782" t="s">
        <v>1061</v>
      </c>
      <c r="J17" s="2782"/>
      <c r="K17" s="2782"/>
      <c r="L17" s="2782"/>
      <c r="M17" s="2137"/>
      <c r="N17" s="1157"/>
    </row>
    <row r="18" spans="1:14" x14ac:dyDescent="0.3">
      <c r="A18" s="1157"/>
      <c r="B18" s="2136"/>
      <c r="C18" s="481" t="s">
        <v>1032</v>
      </c>
      <c r="D18" s="477"/>
      <c r="E18" s="477"/>
      <c r="F18" s="477"/>
      <c r="G18" s="477"/>
      <c r="H18" s="477"/>
      <c r="I18" s="477"/>
      <c r="J18" s="477"/>
      <c r="K18" s="477"/>
      <c r="L18" s="477"/>
      <c r="M18" s="2137"/>
      <c r="N18" s="1157"/>
    </row>
    <row r="19" spans="1:14" ht="29.1" customHeight="1" x14ac:dyDescent="0.3">
      <c r="A19" s="1157"/>
      <c r="B19" s="2136"/>
      <c r="C19" s="2783" t="s">
        <v>1315</v>
      </c>
      <c r="D19" s="2783"/>
      <c r="E19" s="2783"/>
      <c r="F19" s="2783"/>
      <c r="G19" s="2783"/>
      <c r="H19" s="2783"/>
      <c r="I19" s="2783"/>
      <c r="J19" s="2783"/>
      <c r="K19" s="2783"/>
      <c r="L19" s="2783"/>
      <c r="M19" s="2137"/>
      <c r="N19" s="1157"/>
    </row>
    <row r="20" spans="1:14" ht="26.1" customHeight="1" x14ac:dyDescent="0.3">
      <c r="A20" s="1157"/>
      <c r="B20" s="2136"/>
      <c r="C20" s="2783" t="s">
        <v>1316</v>
      </c>
      <c r="D20" s="2783"/>
      <c r="E20" s="2783"/>
      <c r="F20" s="2783"/>
      <c r="G20" s="2783"/>
      <c r="H20" s="2783"/>
      <c r="I20" s="2783"/>
      <c r="J20" s="2783"/>
      <c r="K20" s="2783"/>
      <c r="L20" s="2783"/>
      <c r="M20" s="2137"/>
      <c r="N20" s="1157"/>
    </row>
    <row r="21" spans="1:14" x14ac:dyDescent="0.3">
      <c r="A21" s="1157"/>
      <c r="B21" s="2136"/>
      <c r="C21" s="477"/>
      <c r="D21" s="477"/>
      <c r="E21" s="477"/>
      <c r="F21" s="477"/>
      <c r="G21" s="477"/>
      <c r="H21" s="477"/>
      <c r="I21" s="477"/>
      <c r="J21" s="477"/>
      <c r="K21" s="477"/>
      <c r="L21" s="477"/>
      <c r="M21" s="2137"/>
      <c r="N21" s="1157"/>
    </row>
    <row r="22" spans="1:14" x14ac:dyDescent="0.3">
      <c r="A22" s="1157"/>
      <c r="B22" s="2136"/>
      <c r="C22" s="481"/>
      <c r="D22" s="477"/>
      <c r="E22" s="477"/>
      <c r="F22" s="477"/>
      <c r="G22" s="477"/>
      <c r="H22" s="2117" t="s">
        <v>312</v>
      </c>
      <c r="I22" s="481"/>
      <c r="J22" s="481">
        <f>D3-1</f>
        <v>2022</v>
      </c>
      <c r="K22" s="481">
        <f>D3</f>
        <v>2023</v>
      </c>
      <c r="L22" s="477"/>
      <c r="M22" s="2137"/>
      <c r="N22" s="1157"/>
    </row>
    <row r="23" spans="1:14" x14ac:dyDescent="0.3">
      <c r="A23" s="1157"/>
      <c r="B23" s="2136"/>
      <c r="C23" s="477"/>
      <c r="D23" s="477" t="s">
        <v>1033</v>
      </c>
      <c r="E23" s="477"/>
      <c r="F23" s="477"/>
      <c r="G23" s="477"/>
      <c r="H23" s="1550"/>
      <c r="I23" s="477"/>
      <c r="J23" s="1550"/>
      <c r="K23" s="1550"/>
      <c r="L23" s="477"/>
      <c r="M23" s="2137"/>
      <c r="N23" s="1157"/>
    </row>
    <row r="24" spans="1:14" x14ac:dyDescent="0.3">
      <c r="A24" s="1157"/>
      <c r="B24" s="2136"/>
      <c r="C24" s="477"/>
      <c r="D24" s="477" t="s">
        <v>1034</v>
      </c>
      <c r="E24" s="477"/>
      <c r="F24" s="477"/>
      <c r="G24" s="477"/>
      <c r="H24" s="1550">
        <v>689</v>
      </c>
      <c r="I24" s="477"/>
      <c r="J24" s="1550">
        <v>410</v>
      </c>
      <c r="K24" s="1550">
        <v>430</v>
      </c>
      <c r="L24" s="477"/>
      <c r="M24" s="2137"/>
      <c r="N24" s="1157"/>
    </row>
    <row r="25" spans="1:14" x14ac:dyDescent="0.3">
      <c r="A25" s="1157"/>
      <c r="B25" s="2136"/>
      <c r="C25" s="477"/>
      <c r="D25" s="477" t="s">
        <v>1035</v>
      </c>
      <c r="E25" s="477"/>
      <c r="F25" s="477"/>
      <c r="G25" s="477"/>
      <c r="H25" s="1550"/>
      <c r="I25" s="477"/>
      <c r="J25" s="1550"/>
      <c r="K25" s="1550"/>
      <c r="L25" s="477"/>
      <c r="M25" s="2137"/>
      <c r="N25" s="1157"/>
    </row>
    <row r="26" spans="1:14" x14ac:dyDescent="0.3">
      <c r="A26" s="1157"/>
      <c r="B26" s="2136"/>
      <c r="C26" s="477"/>
      <c r="D26" s="477" t="s">
        <v>1036</v>
      </c>
      <c r="E26" s="477"/>
      <c r="F26" s="477"/>
      <c r="G26" s="477"/>
      <c r="H26" s="1550"/>
      <c r="I26" s="477"/>
      <c r="J26" s="1550"/>
      <c r="K26" s="1550"/>
      <c r="L26" s="477"/>
      <c r="M26" s="2137"/>
      <c r="N26" s="1157"/>
    </row>
    <row r="27" spans="1:14" x14ac:dyDescent="0.3">
      <c r="A27" s="1157"/>
      <c r="B27" s="2136"/>
      <c r="C27" s="477"/>
      <c r="D27" s="2784" t="s">
        <v>1030</v>
      </c>
      <c r="E27" s="2785"/>
      <c r="F27" s="2786"/>
      <c r="G27" s="477"/>
      <c r="H27" s="1550"/>
      <c r="I27" s="477"/>
      <c r="J27" s="1550"/>
      <c r="K27" s="1550"/>
      <c r="L27" s="477"/>
      <c r="M27" s="2137"/>
      <c r="N27" s="1157"/>
    </row>
    <row r="28" spans="1:14" x14ac:dyDescent="0.3">
      <c r="A28" s="1157"/>
      <c r="B28" s="2136"/>
      <c r="C28" s="477"/>
      <c r="D28" s="2784" t="s">
        <v>1030</v>
      </c>
      <c r="E28" s="2785"/>
      <c r="F28" s="2786"/>
      <c r="G28" s="477"/>
      <c r="H28" s="1550"/>
      <c r="I28" s="477"/>
      <c r="J28" s="1550"/>
      <c r="K28" s="1550"/>
      <c r="L28" s="477"/>
      <c r="M28" s="2137"/>
      <c r="N28" s="1157"/>
    </row>
    <row r="29" spans="1:14" x14ac:dyDescent="0.3">
      <c r="A29" s="1157"/>
      <c r="B29" s="2136"/>
      <c r="C29" s="477"/>
      <c r="D29" s="477"/>
      <c r="E29" s="477"/>
      <c r="F29" s="477"/>
      <c r="G29" s="477"/>
      <c r="H29" s="477"/>
      <c r="I29" s="477"/>
      <c r="J29" s="477"/>
      <c r="K29" s="477"/>
      <c r="L29" s="477"/>
      <c r="M29" s="2137"/>
      <c r="N29" s="1157"/>
    </row>
    <row r="30" spans="1:14" x14ac:dyDescent="0.3">
      <c r="A30" s="1157"/>
      <c r="B30" s="2136"/>
      <c r="C30" s="481" t="s">
        <v>1037</v>
      </c>
      <c r="D30" s="477"/>
      <c r="E30" s="477"/>
      <c r="F30" s="477"/>
      <c r="G30" s="477"/>
      <c r="H30" s="477"/>
      <c r="I30" s="477"/>
      <c r="J30" s="477"/>
      <c r="K30" s="477"/>
      <c r="L30" s="477"/>
      <c r="M30" s="2137"/>
      <c r="N30" s="1157"/>
    </row>
    <row r="31" spans="1:14" ht="27.75" customHeight="1" x14ac:dyDescent="0.3">
      <c r="A31" s="1157"/>
      <c r="B31" s="2136"/>
      <c r="C31" s="2783" t="s">
        <v>1317</v>
      </c>
      <c r="D31" s="2783"/>
      <c r="E31" s="2783"/>
      <c r="F31" s="2783"/>
      <c r="G31" s="2783"/>
      <c r="H31" s="2783"/>
      <c r="I31" s="2783"/>
      <c r="J31" s="2783"/>
      <c r="K31" s="2783"/>
      <c r="L31" s="2783"/>
      <c r="M31" s="2137"/>
      <c r="N31" s="1157"/>
    </row>
    <row r="32" spans="1:14" ht="27" customHeight="1" x14ac:dyDescent="0.3">
      <c r="A32" s="1157"/>
      <c r="B32" s="2136"/>
      <c r="C32" s="2783" t="s">
        <v>1318</v>
      </c>
      <c r="D32" s="2783"/>
      <c r="E32" s="2783"/>
      <c r="F32" s="2783"/>
      <c r="G32" s="2783"/>
      <c r="H32" s="2783"/>
      <c r="I32" s="2783"/>
      <c r="J32" s="2783"/>
      <c r="K32" s="2783"/>
      <c r="L32" s="2783"/>
      <c r="M32" s="2137"/>
      <c r="N32" s="1157"/>
    </row>
    <row r="33" spans="1:14" x14ac:dyDescent="0.3">
      <c r="A33" s="1157"/>
      <c r="B33" s="2136"/>
      <c r="C33" s="477"/>
      <c r="D33" s="477"/>
      <c r="E33" s="477"/>
      <c r="F33" s="477"/>
      <c r="G33" s="477"/>
      <c r="H33" s="477"/>
      <c r="I33" s="477"/>
      <c r="J33" s="477"/>
      <c r="K33" s="477"/>
      <c r="L33" s="477"/>
      <c r="M33" s="2137"/>
      <c r="N33" s="1157"/>
    </row>
    <row r="34" spans="1:14" ht="66.599999999999994" x14ac:dyDescent="0.3">
      <c r="A34" s="1157"/>
      <c r="B34" s="2138"/>
      <c r="C34" s="2789" t="s">
        <v>315</v>
      </c>
      <c r="D34" s="2789"/>
      <c r="E34" s="2118" t="s">
        <v>1038</v>
      </c>
      <c r="F34" s="2118" t="s">
        <v>1039</v>
      </c>
      <c r="G34" s="2118" t="s">
        <v>1056</v>
      </c>
      <c r="H34" s="2118" t="s">
        <v>1040</v>
      </c>
      <c r="I34" s="2118" t="s">
        <v>1041</v>
      </c>
      <c r="J34" s="2118" t="s">
        <v>1042</v>
      </c>
      <c r="K34" s="1560"/>
      <c r="L34" s="1560"/>
      <c r="M34" s="2137"/>
      <c r="N34" s="1157"/>
    </row>
    <row r="35" spans="1:14" x14ac:dyDescent="0.3">
      <c r="A35" s="1157"/>
      <c r="B35" s="2136"/>
      <c r="C35" s="2780" t="s">
        <v>1515</v>
      </c>
      <c r="D35" s="2781"/>
      <c r="E35" s="1550">
        <v>2020</v>
      </c>
      <c r="F35" s="1550">
        <v>2040</v>
      </c>
      <c r="G35" s="1550">
        <v>232880</v>
      </c>
      <c r="H35" s="1550">
        <v>200000</v>
      </c>
      <c r="I35" s="1550">
        <v>20</v>
      </c>
      <c r="J35" s="1550">
        <v>10000</v>
      </c>
      <c r="K35" s="477"/>
      <c r="L35" s="477"/>
      <c r="M35" s="2137"/>
      <c r="N35" s="1157"/>
    </row>
    <row r="36" spans="1:14" x14ac:dyDescent="0.3">
      <c r="A36" s="1157"/>
      <c r="B36" s="2136"/>
      <c r="C36" s="2780"/>
      <c r="D36" s="2781"/>
      <c r="E36" s="1550"/>
      <c r="F36" s="1550"/>
      <c r="G36" s="1550"/>
      <c r="H36" s="1550"/>
      <c r="I36" s="1550"/>
      <c r="J36" s="1550"/>
      <c r="K36" s="477"/>
      <c r="L36" s="477"/>
      <c r="M36" s="2137"/>
      <c r="N36" s="1157"/>
    </row>
    <row r="37" spans="1:14" x14ac:dyDescent="0.3">
      <c r="A37" s="1157"/>
      <c r="B37" s="2136"/>
      <c r="C37" s="2780"/>
      <c r="D37" s="2781"/>
      <c r="E37" s="1550"/>
      <c r="F37" s="1550"/>
      <c r="G37" s="1550"/>
      <c r="H37" s="1550"/>
      <c r="I37" s="1550"/>
      <c r="J37" s="1550"/>
      <c r="K37" s="477"/>
      <c r="L37" s="477"/>
      <c r="M37" s="2137"/>
      <c r="N37" s="1157"/>
    </row>
    <row r="38" spans="1:14" x14ac:dyDescent="0.3">
      <c r="A38" s="1157"/>
      <c r="B38" s="2136"/>
      <c r="C38" s="2780"/>
      <c r="D38" s="2781"/>
      <c r="E38" s="1550"/>
      <c r="F38" s="1550"/>
      <c r="G38" s="1550"/>
      <c r="H38" s="1550"/>
      <c r="I38" s="1550"/>
      <c r="J38" s="1550"/>
      <c r="K38" s="477"/>
      <c r="L38" s="477"/>
      <c r="M38" s="2137"/>
      <c r="N38" s="1157"/>
    </row>
    <row r="39" spans="1:14" x14ac:dyDescent="0.3">
      <c r="A39" s="1157"/>
      <c r="B39" s="2136"/>
      <c r="C39" s="2780"/>
      <c r="D39" s="2781"/>
      <c r="E39" s="1550"/>
      <c r="F39" s="1550"/>
      <c r="G39" s="1550"/>
      <c r="H39" s="1550"/>
      <c r="I39" s="1550"/>
      <c r="J39" s="1550"/>
      <c r="K39" s="477"/>
      <c r="L39" s="477"/>
      <c r="M39" s="2137"/>
      <c r="N39" s="1157"/>
    </row>
    <row r="40" spans="1:14" x14ac:dyDescent="0.3">
      <c r="A40" s="1157"/>
      <c r="B40" s="2136"/>
      <c r="C40" s="2780"/>
      <c r="D40" s="2781"/>
      <c r="E40" s="1550"/>
      <c r="F40" s="1550"/>
      <c r="G40" s="1550"/>
      <c r="H40" s="1550"/>
      <c r="I40" s="1550"/>
      <c r="J40" s="1550"/>
      <c r="K40" s="477"/>
      <c r="L40" s="477"/>
      <c r="M40" s="2137"/>
      <c r="N40" s="1157"/>
    </row>
    <row r="41" spans="1:14" x14ac:dyDescent="0.3">
      <c r="A41" s="1157"/>
      <c r="B41" s="2136"/>
      <c r="C41" s="477"/>
      <c r="D41" s="477"/>
      <c r="E41" s="477"/>
      <c r="F41" s="477"/>
      <c r="G41" s="477"/>
      <c r="H41" s="477"/>
      <c r="I41" s="477"/>
      <c r="J41" s="477"/>
      <c r="K41" s="477"/>
      <c r="L41" s="477"/>
      <c r="M41" s="2137"/>
      <c r="N41" s="1157"/>
    </row>
    <row r="42" spans="1:14" x14ac:dyDescent="0.3">
      <c r="A42" s="1157"/>
      <c r="B42" s="2136"/>
      <c r="C42" s="481" t="s">
        <v>1043</v>
      </c>
      <c r="D42" s="481"/>
      <c r="E42" s="477"/>
      <c r="F42" s="477"/>
      <c r="G42" s="477"/>
      <c r="H42" s="477"/>
      <c r="I42" s="477"/>
      <c r="J42" s="477"/>
      <c r="K42" s="477"/>
      <c r="L42" s="477"/>
      <c r="M42" s="2137"/>
      <c r="N42" s="1157"/>
    </row>
    <row r="43" spans="1:14" x14ac:dyDescent="0.3">
      <c r="A43" s="1157"/>
      <c r="B43" s="2136"/>
      <c r="C43" s="477" t="s">
        <v>1044</v>
      </c>
      <c r="D43" s="477"/>
      <c r="E43" s="477"/>
      <c r="F43" s="477"/>
      <c r="G43" s="477"/>
      <c r="H43" s="477"/>
      <c r="I43" s="477"/>
      <c r="J43" s="477"/>
      <c r="K43" s="477"/>
      <c r="L43" s="477"/>
      <c r="M43" s="2137"/>
      <c r="N43" s="1157"/>
    </row>
    <row r="44" spans="1:14" x14ac:dyDescent="0.3">
      <c r="A44" s="1157"/>
      <c r="B44" s="2136"/>
      <c r="C44" s="477" t="s">
        <v>1045</v>
      </c>
      <c r="D44" s="477"/>
      <c r="E44" s="477"/>
      <c r="F44" s="477"/>
      <c r="G44" s="477"/>
      <c r="H44" s="477"/>
      <c r="I44" s="477"/>
      <c r="J44" s="477"/>
      <c r="K44" s="477"/>
      <c r="L44" s="477"/>
      <c r="M44" s="2137"/>
      <c r="N44" s="1157"/>
    </row>
    <row r="45" spans="1:14" x14ac:dyDescent="0.3">
      <c r="A45" s="1157"/>
      <c r="B45" s="2136"/>
      <c r="C45" s="477"/>
      <c r="D45" s="477"/>
      <c r="E45" s="477"/>
      <c r="F45" s="477"/>
      <c r="G45" s="477"/>
      <c r="H45" s="477"/>
      <c r="I45" s="477"/>
      <c r="J45" s="477"/>
      <c r="K45" s="477"/>
      <c r="L45" s="477"/>
      <c r="M45" s="2137"/>
      <c r="N45" s="1157"/>
    </row>
    <row r="46" spans="1:14" x14ac:dyDescent="0.3">
      <c r="A46" s="1157"/>
      <c r="B46" s="2136"/>
      <c r="C46" s="481" t="s">
        <v>1046</v>
      </c>
      <c r="D46" s="477"/>
      <c r="E46" s="477"/>
      <c r="F46" s="477"/>
      <c r="G46" s="477"/>
      <c r="H46" s="477"/>
      <c r="I46" s="477"/>
      <c r="J46" s="477"/>
      <c r="K46" s="1171"/>
      <c r="L46" s="477"/>
      <c r="M46" s="2137"/>
      <c r="N46" s="1157"/>
    </row>
    <row r="47" spans="1:14" ht="15" customHeight="1" x14ac:dyDescent="0.3">
      <c r="A47" s="1157"/>
      <c r="B47" s="2136"/>
      <c r="C47" s="2790" t="s">
        <v>1319</v>
      </c>
      <c r="D47" s="2790"/>
      <c r="E47" s="2790"/>
      <c r="F47" s="2790"/>
      <c r="G47" s="2790"/>
      <c r="H47" s="2790"/>
      <c r="I47" s="2790"/>
      <c r="J47" s="2791"/>
      <c r="K47" s="1430" t="s">
        <v>1088</v>
      </c>
      <c r="L47" s="477"/>
      <c r="M47" s="2137"/>
      <c r="N47" s="1157"/>
    </row>
    <row r="48" spans="1:14" x14ac:dyDescent="0.3">
      <c r="A48" s="1157"/>
      <c r="B48" s="2136"/>
      <c r="C48" s="2790"/>
      <c r="D48" s="2790"/>
      <c r="E48" s="2790"/>
      <c r="F48" s="2790"/>
      <c r="G48" s="2790"/>
      <c r="H48" s="2790"/>
      <c r="I48" s="2790"/>
      <c r="J48" s="2790"/>
      <c r="K48" s="1627"/>
      <c r="L48" s="477"/>
      <c r="M48" s="2137"/>
      <c r="N48" s="1157"/>
    </row>
    <row r="49" spans="1:14" x14ac:dyDescent="0.3">
      <c r="A49" s="1157"/>
      <c r="B49" s="2136"/>
      <c r="C49" s="481"/>
      <c r="D49" s="477"/>
      <c r="E49" s="477"/>
      <c r="F49" s="477"/>
      <c r="G49" s="477"/>
      <c r="H49" s="477"/>
      <c r="I49" s="477"/>
      <c r="J49" s="477"/>
      <c r="K49" s="535"/>
      <c r="L49" s="477"/>
      <c r="M49" s="2137"/>
      <c r="N49" s="1157"/>
    </row>
    <row r="50" spans="1:14" x14ac:dyDescent="0.3">
      <c r="A50" s="1157"/>
      <c r="B50" s="2136"/>
      <c r="C50" s="477" t="s">
        <v>1320</v>
      </c>
      <c r="D50" s="477"/>
      <c r="E50" s="477"/>
      <c r="F50" s="477"/>
      <c r="G50" s="477"/>
      <c r="H50" s="477"/>
      <c r="I50" s="477"/>
      <c r="J50" s="477"/>
      <c r="K50" s="1430" t="s">
        <v>1088</v>
      </c>
      <c r="L50" s="477"/>
      <c r="M50" s="2137"/>
      <c r="N50" s="1157"/>
    </row>
    <row r="51" spans="1:14" x14ac:dyDescent="0.3">
      <c r="A51" s="1157"/>
      <c r="B51" s="2136"/>
      <c r="C51" s="2792" t="s">
        <v>1090</v>
      </c>
      <c r="D51" s="2792"/>
      <c r="E51" s="2792"/>
      <c r="F51" s="2792"/>
      <c r="G51" s="2792"/>
      <c r="H51" s="2792"/>
      <c r="I51" s="2792"/>
      <c r="J51" s="2792"/>
      <c r="K51" s="2810" t="s">
        <v>1089</v>
      </c>
      <c r="L51" s="2810"/>
      <c r="M51" s="2137"/>
      <c r="N51" s="1157"/>
    </row>
    <row r="52" spans="1:14" x14ac:dyDescent="0.3">
      <c r="A52" s="1157"/>
      <c r="B52" s="2136"/>
      <c r="C52" s="2792"/>
      <c r="D52" s="2792"/>
      <c r="E52" s="2792"/>
      <c r="F52" s="2792"/>
      <c r="G52" s="2792"/>
      <c r="H52" s="2792"/>
      <c r="I52" s="2792"/>
      <c r="J52" s="2792"/>
      <c r="K52" s="2810"/>
      <c r="L52" s="2810"/>
      <c r="M52" s="2137"/>
      <c r="N52" s="1157"/>
    </row>
    <row r="53" spans="1:14" x14ac:dyDescent="0.3">
      <c r="A53" s="1157"/>
      <c r="B53" s="2136"/>
      <c r="C53" s="477" t="s">
        <v>1047</v>
      </c>
      <c r="D53" s="477"/>
      <c r="E53" s="477"/>
      <c r="F53" s="477"/>
      <c r="G53" s="477"/>
      <c r="H53" s="477"/>
      <c r="I53" s="477"/>
      <c r="J53" s="477"/>
      <c r="K53" s="477"/>
      <c r="L53" s="477"/>
      <c r="M53" s="2137"/>
      <c r="N53" s="1157"/>
    </row>
    <row r="54" spans="1:14" x14ac:dyDescent="0.3">
      <c r="A54" s="1157"/>
      <c r="B54" s="2136"/>
      <c r="C54" s="477" t="s">
        <v>1048</v>
      </c>
      <c r="D54" s="477"/>
      <c r="E54" s="477"/>
      <c r="F54" s="477"/>
      <c r="G54" s="477"/>
      <c r="H54" s="477"/>
      <c r="I54" s="477"/>
      <c r="J54" s="477"/>
      <c r="K54" s="477"/>
      <c r="L54" s="477"/>
      <c r="M54" s="2137"/>
      <c r="N54" s="1157"/>
    </row>
    <row r="55" spans="1:14" x14ac:dyDescent="0.3">
      <c r="A55" s="1157"/>
      <c r="B55" s="2136"/>
      <c r="C55" s="477"/>
      <c r="D55" s="477"/>
      <c r="E55" s="477"/>
      <c r="F55" s="477"/>
      <c r="G55" s="477"/>
      <c r="H55" s="477"/>
      <c r="I55" s="477"/>
      <c r="J55" s="477"/>
      <c r="K55" s="477"/>
      <c r="L55" s="477"/>
      <c r="M55" s="2137"/>
      <c r="N55" s="1157"/>
    </row>
    <row r="56" spans="1:14" s="1552" customFormat="1" ht="39.6" x14ac:dyDescent="0.3">
      <c r="A56" s="1956"/>
      <c r="B56" s="2139"/>
      <c r="C56" s="2790" t="s">
        <v>1057</v>
      </c>
      <c r="D56" s="2791"/>
      <c r="E56" s="1553" t="s">
        <v>9</v>
      </c>
      <c r="F56" s="1553" t="s">
        <v>816</v>
      </c>
      <c r="G56" s="1553" t="s">
        <v>171</v>
      </c>
      <c r="H56" s="1553" t="s">
        <v>10</v>
      </c>
      <c r="I56" s="1553" t="s">
        <v>11</v>
      </c>
      <c r="J56" s="2119"/>
      <c r="K56" s="2119"/>
      <c r="L56" s="2119"/>
      <c r="M56" s="2140"/>
      <c r="N56" s="1956"/>
    </row>
    <row r="57" spans="1:14" x14ac:dyDescent="0.3">
      <c r="A57" s="1157"/>
      <c r="B57" s="2136"/>
      <c r="C57" s="477"/>
      <c r="D57" s="477"/>
      <c r="E57" s="477"/>
      <c r="F57" s="477"/>
      <c r="G57" s="477"/>
      <c r="H57" s="477"/>
      <c r="I57" s="477"/>
      <c r="J57" s="477"/>
      <c r="K57" s="477"/>
      <c r="L57" s="477"/>
      <c r="M57" s="2137"/>
      <c r="N57" s="1157"/>
    </row>
    <row r="58" spans="1:14" x14ac:dyDescent="0.3">
      <c r="A58" s="1157"/>
      <c r="B58" s="2136"/>
      <c r="C58" s="477" t="s">
        <v>1049</v>
      </c>
      <c r="D58" s="477"/>
      <c r="E58" s="1637">
        <f>Attach2B!G32</f>
        <v>614</v>
      </c>
      <c r="F58" s="1637">
        <f>Attach2B!H32</f>
        <v>4</v>
      </c>
      <c r="G58" s="1637">
        <f>Attach2B!I32</f>
        <v>29</v>
      </c>
      <c r="H58" s="1637">
        <f>Attach2B!J32</f>
        <v>4</v>
      </c>
      <c r="I58" s="1637">
        <f>Attach2B!K32</f>
        <v>17</v>
      </c>
      <c r="J58" s="477"/>
      <c r="K58" s="1629" t="s">
        <v>1082</v>
      </c>
      <c r="L58" s="477"/>
      <c r="M58" s="2137"/>
      <c r="N58" s="1157"/>
    </row>
    <row r="59" spans="1:14" x14ac:dyDescent="0.3">
      <c r="A59" s="1157"/>
      <c r="B59" s="2136"/>
      <c r="C59" s="477" t="s">
        <v>1050</v>
      </c>
      <c r="D59" s="477"/>
      <c r="E59" s="1551">
        <v>1</v>
      </c>
      <c r="F59" s="1551">
        <v>0</v>
      </c>
      <c r="G59" s="1551">
        <v>0</v>
      </c>
      <c r="H59" s="1551">
        <v>0</v>
      </c>
      <c r="I59" s="1551">
        <v>1</v>
      </c>
      <c r="J59" s="477"/>
      <c r="K59" s="1629" t="s">
        <v>1083</v>
      </c>
      <c r="L59" s="477"/>
      <c r="M59" s="2137"/>
      <c r="N59" s="1157"/>
    </row>
    <row r="60" spans="1:14" x14ac:dyDescent="0.3">
      <c r="A60" s="1157"/>
      <c r="B60" s="2136"/>
      <c r="C60" s="481" t="s">
        <v>172</v>
      </c>
      <c r="D60" s="477"/>
      <c r="E60" s="1628">
        <f>SUM(E58:E59)</f>
        <v>615</v>
      </c>
      <c r="F60" s="1628">
        <f>SUM(F58:F59)</f>
        <v>4</v>
      </c>
      <c r="G60" s="1628">
        <f>SUM(G58:G59)</f>
        <v>29</v>
      </c>
      <c r="H60" s="1628">
        <f>SUM(H58:H59)</f>
        <v>4</v>
      </c>
      <c r="I60" s="1628">
        <f>SUM(I58:I59)</f>
        <v>18</v>
      </c>
      <c r="J60" s="477"/>
      <c r="K60" s="477"/>
      <c r="L60" s="477"/>
      <c r="M60" s="2137"/>
      <c r="N60" s="1157"/>
    </row>
    <row r="61" spans="1:14" x14ac:dyDescent="0.3">
      <c r="A61" s="1157"/>
      <c r="B61" s="2136"/>
      <c r="C61" s="477"/>
      <c r="D61" s="477"/>
      <c r="E61" s="477"/>
      <c r="F61" s="477"/>
      <c r="G61" s="477"/>
      <c r="H61" s="477"/>
      <c r="I61" s="477"/>
      <c r="J61" s="477"/>
      <c r="K61" s="477"/>
      <c r="L61" s="477"/>
      <c r="M61" s="2137"/>
      <c r="N61" s="1157"/>
    </row>
    <row r="62" spans="1:14" x14ac:dyDescent="0.3">
      <c r="A62" s="1157"/>
      <c r="B62" s="2136"/>
      <c r="C62" s="477" t="s">
        <v>1051</v>
      </c>
      <c r="D62" s="477"/>
      <c r="E62" s="477"/>
      <c r="F62" s="477"/>
      <c r="G62" s="477"/>
      <c r="H62" s="477"/>
      <c r="I62" s="477"/>
      <c r="J62" s="477"/>
      <c r="K62" s="477"/>
      <c r="L62" s="477"/>
      <c r="M62" s="2137"/>
      <c r="N62" s="1157"/>
    </row>
    <row r="63" spans="1:14" ht="15" customHeight="1" x14ac:dyDescent="0.3">
      <c r="A63" s="1157"/>
      <c r="B63" s="2136"/>
      <c r="C63" s="477"/>
      <c r="D63" s="477"/>
      <c r="E63" s="477"/>
      <c r="F63" s="477"/>
      <c r="G63" s="477"/>
      <c r="H63" s="477"/>
      <c r="I63" s="477"/>
      <c r="J63" s="477"/>
      <c r="K63" s="477"/>
      <c r="L63" s="477"/>
      <c r="M63" s="2137"/>
      <c r="N63" s="1157"/>
    </row>
    <row r="64" spans="1:14" ht="15" customHeight="1" x14ac:dyDescent="0.3">
      <c r="A64" s="1157"/>
      <c r="B64" s="2136"/>
      <c r="C64" s="2790" t="s">
        <v>1084</v>
      </c>
      <c r="D64" s="2790"/>
      <c r="E64" s="2790"/>
      <c r="F64" s="2790"/>
      <c r="G64" s="2790"/>
      <c r="H64" s="2790"/>
      <c r="I64" s="2790"/>
      <c r="J64" s="2790"/>
      <c r="K64" s="2790"/>
      <c r="L64" s="477"/>
      <c r="M64" s="2137"/>
      <c r="N64" s="1157"/>
    </row>
    <row r="65" spans="1:18" x14ac:dyDescent="0.3">
      <c r="A65" s="1157"/>
      <c r="B65" s="2136"/>
      <c r="C65" s="2809"/>
      <c r="D65" s="2809"/>
      <c r="E65" s="2809"/>
      <c r="F65" s="2809"/>
      <c r="G65" s="2809"/>
      <c r="H65" s="2809"/>
      <c r="I65" s="2809"/>
      <c r="J65" s="2809"/>
      <c r="K65" s="2809"/>
      <c r="L65" s="477"/>
      <c r="M65" s="2137"/>
      <c r="N65" s="1157"/>
    </row>
    <row r="66" spans="1:18" x14ac:dyDescent="0.3">
      <c r="A66" s="1157"/>
      <c r="B66" s="2136"/>
      <c r="C66" s="2808" t="s">
        <v>1518</v>
      </c>
      <c r="D66" s="2553"/>
      <c r="E66" s="2553"/>
      <c r="F66" s="2553"/>
      <c r="G66" s="2553"/>
      <c r="H66" s="2553"/>
      <c r="I66" s="2553"/>
      <c r="J66" s="2553"/>
      <c r="K66" s="2554"/>
      <c r="L66" s="477"/>
      <c r="M66" s="2137"/>
      <c r="N66" s="1157"/>
    </row>
    <row r="67" spans="1:18" x14ac:dyDescent="0.3">
      <c r="A67" s="1157"/>
      <c r="B67" s="2136"/>
      <c r="C67" s="2555"/>
      <c r="D67" s="2556"/>
      <c r="E67" s="2556"/>
      <c r="F67" s="2556"/>
      <c r="G67" s="2556"/>
      <c r="H67" s="2556"/>
      <c r="I67" s="2556"/>
      <c r="J67" s="2556"/>
      <c r="K67" s="2557"/>
      <c r="L67" s="477"/>
      <c r="M67" s="2137"/>
      <c r="N67" s="1157"/>
    </row>
    <row r="68" spans="1:18" x14ac:dyDescent="0.3">
      <c r="A68" s="1157"/>
      <c r="B68" s="2136"/>
      <c r="C68" s="2558"/>
      <c r="D68" s="2559"/>
      <c r="E68" s="2559"/>
      <c r="F68" s="2559"/>
      <c r="G68" s="2559"/>
      <c r="H68" s="2559"/>
      <c r="I68" s="2559"/>
      <c r="J68" s="2559"/>
      <c r="K68" s="2560"/>
      <c r="L68" s="477"/>
      <c r="M68" s="2137"/>
      <c r="N68" s="1157"/>
    </row>
    <row r="69" spans="1:18" x14ac:dyDescent="0.3">
      <c r="A69" s="1157"/>
      <c r="B69" s="2136"/>
      <c r="C69" s="477"/>
      <c r="D69" s="477"/>
      <c r="E69" s="477"/>
      <c r="F69" s="477"/>
      <c r="G69" s="477"/>
      <c r="H69" s="477"/>
      <c r="I69" s="477"/>
      <c r="J69" s="477"/>
      <c r="K69" s="477"/>
      <c r="L69" s="477"/>
      <c r="M69" s="2137"/>
      <c r="N69" s="1157"/>
    </row>
    <row r="70" spans="1:18" x14ac:dyDescent="0.3">
      <c r="A70" s="1157"/>
      <c r="B70" s="2136"/>
      <c r="C70" s="481" t="s">
        <v>1052</v>
      </c>
      <c r="D70" s="477"/>
      <c r="E70" s="477"/>
      <c r="F70" s="477"/>
      <c r="G70" s="477"/>
      <c r="H70" s="477"/>
      <c r="I70" s="477"/>
      <c r="J70" s="477"/>
      <c r="K70" s="477"/>
      <c r="L70" s="477"/>
      <c r="M70" s="2137"/>
      <c r="N70" s="1157"/>
    </row>
    <row r="71" spans="1:18" x14ac:dyDescent="0.3">
      <c r="A71" s="1157"/>
      <c r="B71" s="2136"/>
      <c r="C71" s="477" t="s">
        <v>1053</v>
      </c>
      <c r="D71" s="477"/>
      <c r="E71" s="477"/>
      <c r="F71" s="477"/>
      <c r="G71" s="477"/>
      <c r="H71" s="477"/>
      <c r="I71" s="477"/>
      <c r="J71" s="477"/>
      <c r="K71" s="477"/>
      <c r="L71" s="477"/>
      <c r="M71" s="2137"/>
      <c r="N71" s="1157"/>
    </row>
    <row r="72" spans="1:18" x14ac:dyDescent="0.3">
      <c r="A72" s="1157"/>
      <c r="B72" s="2136"/>
      <c r="C72" s="477" t="s">
        <v>1054</v>
      </c>
      <c r="D72" s="477"/>
      <c r="E72" s="477"/>
      <c r="F72" s="477"/>
      <c r="G72" s="477"/>
      <c r="H72" s="477"/>
      <c r="I72" s="477"/>
      <c r="J72" s="477"/>
      <c r="K72" s="477"/>
      <c r="L72" s="477"/>
      <c r="M72" s="2137"/>
      <c r="N72" s="1157"/>
    </row>
    <row r="73" spans="1:18" x14ac:dyDescent="0.3">
      <c r="A73" s="1157"/>
      <c r="B73" s="2136"/>
      <c r="C73" s="477" t="s">
        <v>1055</v>
      </c>
      <c r="D73" s="477"/>
      <c r="E73" s="477"/>
      <c r="F73" s="477"/>
      <c r="G73" s="477"/>
      <c r="H73" s="477"/>
      <c r="I73" s="477"/>
      <c r="J73" s="477"/>
      <c r="K73" s="477"/>
      <c r="L73" s="477"/>
      <c r="M73" s="2137"/>
      <c r="N73" s="1157"/>
      <c r="O73" s="1157"/>
      <c r="P73" s="1157"/>
      <c r="Q73" s="1157"/>
    </row>
    <row r="74" spans="1:18" ht="15" customHeight="1" x14ac:dyDescent="0.3">
      <c r="A74" s="1157"/>
      <c r="B74" s="2136"/>
      <c r="C74" s="2793" t="s">
        <v>1545</v>
      </c>
      <c r="D74" s="2794"/>
      <c r="E74" s="2794"/>
      <c r="F74" s="2794"/>
      <c r="G74" s="2794"/>
      <c r="H74" s="2794"/>
      <c r="I74" s="2794"/>
      <c r="J74" s="2794"/>
      <c r="K74" s="2795"/>
      <c r="L74" s="477"/>
      <c r="M74" s="2137"/>
      <c r="N74" s="2802" t="s">
        <v>1058</v>
      </c>
      <c r="O74" s="2802"/>
      <c r="P74" s="2803"/>
      <c r="Q74" s="1157"/>
    </row>
    <row r="75" spans="1:18" x14ac:dyDescent="0.3">
      <c r="A75" s="1157"/>
      <c r="B75" s="2136"/>
      <c r="C75" s="2796"/>
      <c r="D75" s="2797"/>
      <c r="E75" s="2797"/>
      <c r="F75" s="2797"/>
      <c r="G75" s="2797"/>
      <c r="H75" s="2797"/>
      <c r="I75" s="2797"/>
      <c r="J75" s="2797"/>
      <c r="K75" s="2798"/>
      <c r="L75" s="477"/>
      <c r="M75" s="2137"/>
      <c r="N75" s="2804"/>
      <c r="O75" s="2804"/>
      <c r="P75" s="2805"/>
      <c r="Q75" s="1157"/>
    </row>
    <row r="76" spans="1:18" x14ac:dyDescent="0.3">
      <c r="A76" s="1157"/>
      <c r="B76" s="2136"/>
      <c r="C76" s="2796"/>
      <c r="D76" s="2797"/>
      <c r="E76" s="2797"/>
      <c r="F76" s="2797"/>
      <c r="G76" s="2797"/>
      <c r="H76" s="2797"/>
      <c r="I76" s="2797"/>
      <c r="J76" s="2797"/>
      <c r="K76" s="2798"/>
      <c r="L76" s="477"/>
      <c r="M76" s="2137"/>
      <c r="N76" s="2804"/>
      <c r="O76" s="2804"/>
      <c r="P76" s="2805"/>
      <c r="Q76" s="1157"/>
    </row>
    <row r="77" spans="1:18" x14ac:dyDescent="0.3">
      <c r="A77" s="1157"/>
      <c r="B77" s="2136"/>
      <c r="C77" s="2796"/>
      <c r="D77" s="2797"/>
      <c r="E77" s="2797"/>
      <c r="F77" s="2797"/>
      <c r="G77" s="2797"/>
      <c r="H77" s="2797"/>
      <c r="I77" s="2797"/>
      <c r="J77" s="2797"/>
      <c r="K77" s="2798"/>
      <c r="L77" s="477"/>
      <c r="M77" s="2137"/>
      <c r="N77" s="2804"/>
      <c r="O77" s="2804"/>
      <c r="P77" s="2805"/>
      <c r="Q77" s="1157"/>
    </row>
    <row r="78" spans="1:18" x14ac:dyDescent="0.3">
      <c r="A78" s="1157"/>
      <c r="B78" s="2136"/>
      <c r="C78" s="2796"/>
      <c r="D78" s="2797"/>
      <c r="E78" s="2797"/>
      <c r="F78" s="2797"/>
      <c r="G78" s="2797"/>
      <c r="H78" s="2797"/>
      <c r="I78" s="2797"/>
      <c r="J78" s="2797"/>
      <c r="K78" s="2798"/>
      <c r="L78" s="477"/>
      <c r="M78" s="2137"/>
      <c r="N78" s="2806"/>
      <c r="O78" s="2806"/>
      <c r="P78" s="2807"/>
      <c r="Q78" s="1157"/>
    </row>
    <row r="79" spans="1:18" ht="15" customHeight="1" x14ac:dyDescent="0.3">
      <c r="A79" s="1157"/>
      <c r="B79" s="2136"/>
      <c r="C79" s="2796"/>
      <c r="D79" s="2797"/>
      <c r="E79" s="2797"/>
      <c r="F79" s="2797"/>
      <c r="G79" s="2797"/>
      <c r="H79" s="2797"/>
      <c r="I79" s="2797"/>
      <c r="J79" s="2797"/>
      <c r="K79" s="2798"/>
      <c r="L79" s="477"/>
      <c r="M79" s="2137"/>
      <c r="N79" s="1957"/>
      <c r="O79" s="1957"/>
      <c r="P79" s="1957"/>
      <c r="Q79" s="1157"/>
    </row>
    <row r="80" spans="1:18" ht="15" customHeight="1" x14ac:dyDescent="0.3">
      <c r="A80" s="1157"/>
      <c r="B80" s="2136"/>
      <c r="C80" s="2796"/>
      <c r="D80" s="2797"/>
      <c r="E80" s="2797"/>
      <c r="F80" s="2797"/>
      <c r="G80" s="2797"/>
      <c r="H80" s="2797"/>
      <c r="I80" s="2797"/>
      <c r="J80" s="2797"/>
      <c r="K80" s="2798"/>
      <c r="L80" s="477"/>
      <c r="M80" s="2137"/>
      <c r="N80" s="1957"/>
      <c r="O80" s="2154"/>
      <c r="P80" s="2154"/>
      <c r="Q80" s="1718"/>
      <c r="R80" s="1718"/>
    </row>
    <row r="81" spans="1:18" x14ac:dyDescent="0.3">
      <c r="A81" s="1157"/>
      <c r="B81" s="2136"/>
      <c r="C81" s="2799"/>
      <c r="D81" s="2800"/>
      <c r="E81" s="2800"/>
      <c r="F81" s="2800"/>
      <c r="G81" s="2800"/>
      <c r="H81" s="2800"/>
      <c r="I81" s="2800"/>
      <c r="J81" s="2800"/>
      <c r="K81" s="2801"/>
      <c r="L81" s="477"/>
      <c r="M81" s="2137"/>
      <c r="N81" s="1957"/>
      <c r="O81" s="2154"/>
      <c r="P81" s="2154"/>
      <c r="Q81" s="1718"/>
    </row>
    <row r="82" spans="1:18" x14ac:dyDescent="0.3">
      <c r="A82" s="1157"/>
      <c r="B82" s="2136"/>
      <c r="C82" s="477"/>
      <c r="D82" s="477"/>
      <c r="E82" s="477"/>
      <c r="F82" s="477"/>
      <c r="G82" s="477"/>
      <c r="H82" s="477"/>
      <c r="I82" s="477"/>
      <c r="J82" s="477"/>
      <c r="K82" s="477"/>
      <c r="L82" s="477"/>
      <c r="M82" s="2137"/>
      <c r="N82" s="1957"/>
      <c r="O82" s="2154"/>
      <c r="P82" s="2154"/>
      <c r="Q82" s="1718"/>
    </row>
    <row r="83" spans="1:18" x14ac:dyDescent="0.3">
      <c r="A83" s="1157"/>
      <c r="B83" s="2136"/>
      <c r="C83" s="477"/>
      <c r="D83" s="477"/>
      <c r="E83" s="477"/>
      <c r="F83" s="477"/>
      <c r="G83" s="477"/>
      <c r="H83" s="477"/>
      <c r="I83" s="477"/>
      <c r="J83" s="477"/>
      <c r="K83" s="477"/>
      <c r="L83" s="477"/>
      <c r="M83" s="2137"/>
      <c r="N83" s="1957"/>
      <c r="O83" s="2154"/>
      <c r="P83" s="2154"/>
      <c r="Q83" s="1718"/>
      <c r="R83" s="1718"/>
    </row>
    <row r="84" spans="1:18" x14ac:dyDescent="0.3">
      <c r="A84" s="1157"/>
      <c r="B84" s="2136"/>
      <c r="C84" s="481" t="s">
        <v>1232</v>
      </c>
      <c r="D84" s="477"/>
      <c r="E84" s="477"/>
      <c r="F84" s="477"/>
      <c r="G84" s="477"/>
      <c r="H84" s="477"/>
      <c r="I84" s="477"/>
      <c r="J84" s="477"/>
      <c r="K84" s="477"/>
      <c r="L84" s="477"/>
      <c r="M84" s="2137"/>
      <c r="N84" s="1957"/>
      <c r="O84" s="2154"/>
      <c r="P84" s="2154"/>
      <c r="Q84" s="1718"/>
    </row>
    <row r="85" spans="1:18" x14ac:dyDescent="0.3">
      <c r="A85" s="1157"/>
      <c r="B85" s="2136"/>
      <c r="C85" s="2542" t="s">
        <v>1519</v>
      </c>
      <c r="D85" s="2543"/>
      <c r="E85" s="2543"/>
      <c r="F85" s="2543"/>
      <c r="G85" s="2543"/>
      <c r="H85" s="2543"/>
      <c r="I85" s="2543"/>
      <c r="J85" s="2543"/>
      <c r="K85" s="2544"/>
      <c r="L85" s="477"/>
      <c r="M85" s="2137"/>
      <c r="N85" s="1957"/>
      <c r="O85" s="2154"/>
      <c r="P85" s="2154"/>
      <c r="Q85" s="1718"/>
    </row>
    <row r="86" spans="1:18" x14ac:dyDescent="0.3">
      <c r="A86" s="1157"/>
      <c r="B86" s="2136"/>
      <c r="C86" s="2545"/>
      <c r="D86" s="2546"/>
      <c r="E86" s="2546"/>
      <c r="F86" s="2546"/>
      <c r="G86" s="2546"/>
      <c r="H86" s="2546"/>
      <c r="I86" s="2546"/>
      <c r="J86" s="2546"/>
      <c r="K86" s="2547"/>
      <c r="L86" s="477"/>
      <c r="M86" s="2137"/>
      <c r="N86" s="1957"/>
      <c r="O86" s="2154"/>
      <c r="P86" s="2154"/>
      <c r="Q86" s="1718"/>
    </row>
    <row r="87" spans="1:18" x14ac:dyDescent="0.3">
      <c r="A87" s="1157"/>
      <c r="B87" s="2136"/>
      <c r="C87" s="2545"/>
      <c r="D87" s="2546"/>
      <c r="E87" s="2546"/>
      <c r="F87" s="2546"/>
      <c r="G87" s="2546"/>
      <c r="H87" s="2546"/>
      <c r="I87" s="2546"/>
      <c r="J87" s="2546"/>
      <c r="K87" s="2547"/>
      <c r="L87" s="477"/>
      <c r="M87" s="2137"/>
      <c r="N87" s="1957"/>
      <c r="O87" s="2154"/>
      <c r="P87" s="2154"/>
      <c r="Q87" s="1718"/>
    </row>
    <row r="88" spans="1:18" x14ac:dyDescent="0.3">
      <c r="A88" s="1157"/>
      <c r="B88" s="2136"/>
      <c r="C88" s="2545"/>
      <c r="D88" s="2546"/>
      <c r="E88" s="2546"/>
      <c r="F88" s="2546"/>
      <c r="G88" s="2546"/>
      <c r="H88" s="2546"/>
      <c r="I88" s="2546"/>
      <c r="J88" s="2546"/>
      <c r="K88" s="2547"/>
      <c r="L88" s="477"/>
      <c r="M88" s="2137"/>
      <c r="N88" s="1957"/>
      <c r="O88" s="2154"/>
      <c r="P88" s="2154"/>
      <c r="Q88" s="1718"/>
    </row>
    <row r="89" spans="1:18" x14ac:dyDescent="0.3">
      <c r="A89" s="1157"/>
      <c r="B89" s="2136"/>
      <c r="C89" s="2545"/>
      <c r="D89" s="2546"/>
      <c r="E89" s="2546"/>
      <c r="F89" s="2546"/>
      <c r="G89" s="2546"/>
      <c r="H89" s="2546"/>
      <c r="I89" s="2546"/>
      <c r="J89" s="2546"/>
      <c r="K89" s="2547"/>
      <c r="L89" s="477"/>
      <c r="M89" s="2137"/>
      <c r="N89" s="1957"/>
      <c r="O89" s="2154"/>
      <c r="P89" s="2154"/>
      <c r="Q89" s="1718"/>
    </row>
    <row r="90" spans="1:18" x14ac:dyDescent="0.3">
      <c r="A90" s="1157"/>
      <c r="B90" s="2136"/>
      <c r="C90" s="2545"/>
      <c r="D90" s="2546"/>
      <c r="E90" s="2546"/>
      <c r="F90" s="2546"/>
      <c r="G90" s="2546"/>
      <c r="H90" s="2546"/>
      <c r="I90" s="2546"/>
      <c r="J90" s="2546"/>
      <c r="K90" s="2547"/>
      <c r="L90" s="477"/>
      <c r="M90" s="2137"/>
      <c r="N90" s="1957"/>
      <c r="O90" s="2154"/>
      <c r="P90" s="2154"/>
      <c r="Q90" s="1718"/>
    </row>
    <row r="91" spans="1:18" x14ac:dyDescent="0.3">
      <c r="A91" s="1157"/>
      <c r="B91" s="2136"/>
      <c r="C91" s="2545"/>
      <c r="D91" s="2546"/>
      <c r="E91" s="2546"/>
      <c r="F91" s="2546"/>
      <c r="G91" s="2546"/>
      <c r="H91" s="2546"/>
      <c r="I91" s="2546"/>
      <c r="J91" s="2546"/>
      <c r="K91" s="2547"/>
      <c r="L91" s="477"/>
      <c r="M91" s="2137"/>
      <c r="N91" s="1957"/>
      <c r="O91" s="2154"/>
      <c r="P91" s="2154"/>
      <c r="Q91" s="1718"/>
    </row>
    <row r="92" spans="1:18" x14ac:dyDescent="0.3">
      <c r="A92" s="1157"/>
      <c r="B92" s="2136"/>
      <c r="C92" s="2545"/>
      <c r="D92" s="2546"/>
      <c r="E92" s="2546"/>
      <c r="F92" s="2546"/>
      <c r="G92" s="2546"/>
      <c r="H92" s="2546"/>
      <c r="I92" s="2546"/>
      <c r="J92" s="2546"/>
      <c r="K92" s="2547"/>
      <c r="L92" s="477"/>
      <c r="M92" s="2137"/>
      <c r="N92" s="1957"/>
      <c r="O92" s="2154"/>
      <c r="P92" s="2154"/>
      <c r="Q92" s="1718"/>
    </row>
    <row r="93" spans="1:18" x14ac:dyDescent="0.3">
      <c r="A93" s="1157"/>
      <c r="B93" s="2136"/>
      <c r="C93" s="2545"/>
      <c r="D93" s="2546"/>
      <c r="E93" s="2546"/>
      <c r="F93" s="2546"/>
      <c r="G93" s="2546"/>
      <c r="H93" s="2546"/>
      <c r="I93" s="2546"/>
      <c r="J93" s="2546"/>
      <c r="K93" s="2547"/>
      <c r="L93" s="477"/>
      <c r="M93" s="2137"/>
      <c r="N93" s="1957"/>
      <c r="O93" s="2154"/>
      <c r="P93" s="2154"/>
      <c r="Q93" s="1718"/>
    </row>
    <row r="94" spans="1:18" x14ac:dyDescent="0.3">
      <c r="A94" s="1157"/>
      <c r="B94" s="2136"/>
      <c r="C94" s="2545"/>
      <c r="D94" s="2546"/>
      <c r="E94" s="2546"/>
      <c r="F94" s="2546"/>
      <c r="G94" s="2546"/>
      <c r="H94" s="2546"/>
      <c r="I94" s="2546"/>
      <c r="J94" s="2546"/>
      <c r="K94" s="2547"/>
      <c r="L94" s="477"/>
      <c r="M94" s="2137"/>
      <c r="N94" s="1957"/>
      <c r="O94" s="2154"/>
      <c r="P94" s="2154"/>
      <c r="Q94" s="1718"/>
    </row>
    <row r="95" spans="1:18" x14ac:dyDescent="0.3">
      <c r="A95" s="1157"/>
      <c r="B95" s="2136"/>
      <c r="C95" s="2548"/>
      <c r="D95" s="2549"/>
      <c r="E95" s="2549"/>
      <c r="F95" s="2549"/>
      <c r="G95" s="2549"/>
      <c r="H95" s="2549"/>
      <c r="I95" s="2549"/>
      <c r="J95" s="2549"/>
      <c r="K95" s="2550"/>
      <c r="L95" s="477"/>
      <c r="M95" s="2137"/>
      <c r="N95" s="1957"/>
      <c r="O95" s="2154"/>
      <c r="P95" s="2154"/>
      <c r="Q95" s="1718"/>
    </row>
    <row r="96" spans="1:18" x14ac:dyDescent="0.3">
      <c r="A96" s="1157"/>
      <c r="B96" s="2136"/>
      <c r="C96" s="477"/>
      <c r="D96" s="477"/>
      <c r="E96" s="477"/>
      <c r="F96" s="477"/>
      <c r="G96" s="477"/>
      <c r="H96" s="477"/>
      <c r="I96" s="477"/>
      <c r="J96" s="477"/>
      <c r="K96" s="477"/>
      <c r="L96" s="477"/>
      <c r="M96" s="2137"/>
      <c r="N96" s="1957"/>
      <c r="O96" s="1554"/>
      <c r="P96" s="1554"/>
      <c r="Q96" s="1718"/>
    </row>
    <row r="97" spans="1:17" ht="15" thickBot="1" x14ac:dyDescent="0.35">
      <c r="A97" s="1157"/>
      <c r="B97" s="2141"/>
      <c r="C97" s="2142"/>
      <c r="D97" s="2142"/>
      <c r="E97" s="2142"/>
      <c r="F97" s="2142"/>
      <c r="G97" s="2142"/>
      <c r="H97" s="2142"/>
      <c r="I97" s="2142"/>
      <c r="J97" s="2142"/>
      <c r="K97" s="2142"/>
      <c r="L97" s="2142"/>
      <c r="M97" s="2143"/>
      <c r="N97" s="1957"/>
      <c r="O97" s="1554"/>
      <c r="P97" s="1554"/>
      <c r="Q97" s="1718"/>
    </row>
    <row r="98" spans="1:17" x14ac:dyDescent="0.3">
      <c r="A98" s="1157"/>
      <c r="B98" s="1157"/>
      <c r="C98" s="1157"/>
      <c r="D98" s="1157"/>
      <c r="E98" s="1157"/>
      <c r="F98" s="1157"/>
      <c r="G98" s="1157"/>
      <c r="H98" s="1157"/>
      <c r="I98" s="1157"/>
      <c r="J98" s="1157"/>
      <c r="K98" s="1157"/>
      <c r="L98" s="1157"/>
      <c r="M98" s="1157"/>
      <c r="N98" s="1554"/>
      <c r="O98" s="1554"/>
      <c r="P98" s="1554"/>
    </row>
    <row r="99" spans="1:17" x14ac:dyDescent="0.3">
      <c r="A99" s="1157"/>
      <c r="B99" s="1157"/>
      <c r="C99" s="1157"/>
      <c r="D99" s="1157"/>
      <c r="E99" s="1157"/>
      <c r="F99" s="1157"/>
      <c r="G99" s="1157"/>
      <c r="H99" s="1157"/>
      <c r="I99" s="1157"/>
      <c r="J99" s="1157"/>
      <c r="K99" s="1157"/>
      <c r="L99" s="1157"/>
      <c r="M99" s="1157"/>
      <c r="N99" s="1554"/>
      <c r="O99" s="1554"/>
      <c r="P99" s="1554"/>
    </row>
    <row r="100" spans="1:17" x14ac:dyDescent="0.3">
      <c r="N100" s="1554"/>
      <c r="O100" s="1554"/>
      <c r="P100" s="1554"/>
    </row>
    <row r="101" spans="1:17" x14ac:dyDescent="0.3">
      <c r="N101" s="1554"/>
      <c r="O101" s="1554"/>
      <c r="P101" s="1554"/>
    </row>
    <row r="102" spans="1:17" x14ac:dyDescent="0.3">
      <c r="N102" s="1554"/>
      <c r="O102" s="1554"/>
      <c r="P102" s="1554"/>
    </row>
    <row r="103" spans="1:17" x14ac:dyDescent="0.3">
      <c r="N103" s="1554"/>
      <c r="O103" s="1554"/>
      <c r="P103" s="1554"/>
    </row>
    <row r="104" spans="1:17" x14ac:dyDescent="0.3">
      <c r="N104" s="1554"/>
      <c r="O104" s="1554"/>
      <c r="P104" s="1554"/>
    </row>
    <row r="105" spans="1:17" x14ac:dyDescent="0.3">
      <c r="N105" s="1554"/>
      <c r="O105" s="1554"/>
      <c r="P105" s="1554"/>
    </row>
    <row r="106" spans="1:17" x14ac:dyDescent="0.3">
      <c r="N106" s="1554"/>
      <c r="O106" s="1554"/>
      <c r="P106" s="1554"/>
    </row>
    <row r="107" spans="1:17" x14ac:dyDescent="0.3">
      <c r="N107" s="1554"/>
      <c r="O107" s="1554"/>
      <c r="P107" s="1554"/>
    </row>
    <row r="108" spans="1:17" x14ac:dyDescent="0.3">
      <c r="N108" s="1554"/>
      <c r="O108" s="1554"/>
      <c r="P108" s="1554"/>
    </row>
    <row r="109" spans="1:17" x14ac:dyDescent="0.3">
      <c r="N109" s="1554"/>
      <c r="O109" s="1554"/>
      <c r="P109" s="1554"/>
    </row>
    <row r="110" spans="1:17" x14ac:dyDescent="0.3">
      <c r="N110" s="1554"/>
      <c r="O110" s="1554"/>
      <c r="P110" s="1554"/>
    </row>
    <row r="111" spans="1:17" x14ac:dyDescent="0.3">
      <c r="N111" s="1554"/>
      <c r="O111" s="1554"/>
      <c r="P111" s="1554"/>
    </row>
    <row r="112" spans="1:17" x14ac:dyDescent="0.3">
      <c r="N112" s="1554"/>
      <c r="O112" s="1554"/>
      <c r="P112" s="1554"/>
    </row>
    <row r="113" spans="14:16" x14ac:dyDescent="0.3">
      <c r="N113" s="1554"/>
      <c r="O113" s="1554"/>
      <c r="P113" s="1554"/>
    </row>
    <row r="114" spans="14:16" x14ac:dyDescent="0.3">
      <c r="N114" s="1554"/>
      <c r="O114" s="1554"/>
      <c r="P114" s="1554"/>
    </row>
    <row r="115" spans="14:16" x14ac:dyDescent="0.3">
      <c r="N115" s="1554"/>
      <c r="O115" s="1554"/>
      <c r="P115" s="1554"/>
    </row>
    <row r="116" spans="14:16" x14ac:dyDescent="0.3">
      <c r="N116" s="1554"/>
      <c r="O116" s="1554"/>
      <c r="P116" s="1554"/>
    </row>
    <row r="117" spans="14:16" x14ac:dyDescent="0.3">
      <c r="N117" s="1554"/>
      <c r="O117" s="1554"/>
      <c r="P117" s="1554"/>
    </row>
    <row r="118" spans="14:16" x14ac:dyDescent="0.3">
      <c r="N118" s="1554"/>
      <c r="O118" s="1554"/>
      <c r="P118" s="1554"/>
    </row>
    <row r="119" spans="14:16" x14ac:dyDescent="0.3">
      <c r="N119" s="1554"/>
      <c r="O119" s="1554"/>
      <c r="P119" s="1554"/>
    </row>
    <row r="120" spans="14:16" x14ac:dyDescent="0.3">
      <c r="N120" s="1554"/>
      <c r="O120" s="1554"/>
      <c r="P120" s="1554"/>
    </row>
    <row r="121" spans="14:16" x14ac:dyDescent="0.3">
      <c r="N121" s="1554"/>
      <c r="O121" s="1554"/>
      <c r="P121" s="1554"/>
    </row>
    <row r="122" spans="14:16" x14ac:dyDescent="0.3">
      <c r="N122" s="1554"/>
      <c r="O122" s="1554"/>
      <c r="P122" s="1554"/>
    </row>
    <row r="123" spans="14:16" x14ac:dyDescent="0.3">
      <c r="N123" s="1554"/>
      <c r="O123" s="1554"/>
      <c r="P123" s="1554"/>
    </row>
    <row r="124" spans="14:16" x14ac:dyDescent="0.3">
      <c r="N124" s="1554"/>
      <c r="O124" s="1554"/>
      <c r="P124" s="1554"/>
    </row>
    <row r="125" spans="14:16" x14ac:dyDescent="0.3">
      <c r="N125" s="1554"/>
      <c r="O125" s="1554"/>
      <c r="P125" s="1554"/>
    </row>
  </sheetData>
  <sheetProtection password="E593" sheet="1" objects="1" scenarios="1"/>
  <mergeCells count="29">
    <mergeCell ref="C85:K95"/>
    <mergeCell ref="C47:J48"/>
    <mergeCell ref="C51:J52"/>
    <mergeCell ref="C56:D56"/>
    <mergeCell ref="C74:K81"/>
    <mergeCell ref="N74:P78"/>
    <mergeCell ref="C66:K68"/>
    <mergeCell ref="C64:K65"/>
    <mergeCell ref="K51:L52"/>
    <mergeCell ref="C39:D39"/>
    <mergeCell ref="C40:D40"/>
    <mergeCell ref="D2:K2"/>
    <mergeCell ref="D3:K3"/>
    <mergeCell ref="D4:K4"/>
    <mergeCell ref="D13:G13"/>
    <mergeCell ref="D14:G14"/>
    <mergeCell ref="C38:D38"/>
    <mergeCell ref="C34:D34"/>
    <mergeCell ref="C6:L6"/>
    <mergeCell ref="C35:D35"/>
    <mergeCell ref="C36:D36"/>
    <mergeCell ref="C37:D37"/>
    <mergeCell ref="I17:L17"/>
    <mergeCell ref="C19:L19"/>
    <mergeCell ref="C20:L20"/>
    <mergeCell ref="C31:L31"/>
    <mergeCell ref="C32:L32"/>
    <mergeCell ref="D27:F27"/>
    <mergeCell ref="D28:F28"/>
  </mergeCells>
  <dataValidations count="1">
    <dataValidation type="list" allowBlank="1" showInputMessage="1" showErrorMessage="1" sqref="K50 K47">
      <formula1>"Yes, No"</formula1>
    </dataValidation>
  </dataValidations>
  <hyperlinks>
    <hyperlink ref="K51:L52" r:id="rId1" display="FAQs:  Meters"/>
  </hyperlinks>
  <pageMargins left="0.7" right="0.7" top="0.75" bottom="0.75" header="0.3" footer="0.3"/>
  <pageSetup scale="69" fitToHeight="2" orientation="portrait" r:id="rId2"/>
  <rowBreaks count="2" manualBreakCount="2">
    <brk id="41" max="12" man="1"/>
    <brk id="43" max="12" man="1"/>
  </rowBreaks>
  <drawing r:id="rId3"/>
  <legacyDrawing r:id="rId4"/>
  <mc:AlternateContent xmlns:mc="http://schemas.openxmlformats.org/markup-compatibility/2006">
    <mc:Choice Requires="x14">
      <controls>
        <mc:AlternateContent xmlns:mc="http://schemas.openxmlformats.org/markup-compatibility/2006">
          <mc:Choice Requires="x14">
            <control shapeId="168964" r:id="rId5" name="Button 4">
              <controlPr defaultSize="0" print="0" autoFill="0" autoPict="0" macro="[0]!PrintAttach19a">
                <anchor moveWithCells="1" sizeWithCells="1">
                  <from>
                    <xdr:col>10</xdr:col>
                    <xdr:colOff>457200</xdr:colOff>
                    <xdr:row>0</xdr:row>
                    <xdr:rowOff>68580</xdr:rowOff>
                  </from>
                  <to>
                    <xdr:col>13</xdr:col>
                    <xdr:colOff>7620</xdr:colOff>
                    <xdr:row>0</xdr:row>
                    <xdr:rowOff>381000</xdr:rowOff>
                  </to>
                </anchor>
              </controlPr>
            </control>
          </mc:Choice>
        </mc:AlternateContent>
        <mc:AlternateContent xmlns:mc="http://schemas.openxmlformats.org/markup-compatibility/2006">
          <mc:Choice Requires="x14">
            <control shapeId="168966" r:id="rId6" name="Button 6">
              <controlPr defaultSize="0" print="0" autoFill="0" autoPict="0" macro="[0]!BackMain">
                <anchor moveWithCells="1" sizeWithCells="1">
                  <from>
                    <xdr:col>1</xdr:col>
                    <xdr:colOff>22860</xdr:colOff>
                    <xdr:row>0</xdr:row>
                    <xdr:rowOff>106680</xdr:rowOff>
                  </from>
                  <to>
                    <xdr:col>2</xdr:col>
                    <xdr:colOff>190500</xdr:colOff>
                    <xdr:row>1</xdr:row>
                    <xdr:rowOff>53340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sheetPr>
  <dimension ref="A1:AB87"/>
  <sheetViews>
    <sheetView showGridLines="0" zoomScaleNormal="100" workbookViewId="0">
      <selection activeCell="D30" sqref="D30:L30"/>
    </sheetView>
  </sheetViews>
  <sheetFormatPr defaultRowHeight="14.4" x14ac:dyDescent="0.3"/>
  <cols>
    <col min="4" max="4" width="11" customWidth="1"/>
    <col min="5" max="5" width="11.109375" customWidth="1"/>
    <col min="6" max="7" width="12.33203125" customWidth="1"/>
    <col min="10" max="10" width="10.6640625" customWidth="1"/>
    <col min="16" max="16" width="8" customWidth="1"/>
  </cols>
  <sheetData>
    <row r="1" spans="1:28" ht="42.45" customHeight="1" x14ac:dyDescent="0.3">
      <c r="A1" s="2132"/>
      <c r="B1" s="2132"/>
      <c r="C1" s="2132"/>
      <c r="D1" s="2132"/>
      <c r="E1" s="2132"/>
      <c r="F1" s="2132"/>
      <c r="G1" s="2132"/>
      <c r="H1" s="2132"/>
      <c r="I1" s="2132"/>
      <c r="J1" s="2132"/>
      <c r="K1" s="2132"/>
      <c r="L1" s="2132"/>
      <c r="M1" s="2132"/>
      <c r="N1" s="2132"/>
    </row>
    <row r="2" spans="1:28" x14ac:dyDescent="0.3">
      <c r="A2" s="2132"/>
      <c r="B2" s="472"/>
      <c r="C2" s="472"/>
      <c r="D2" s="2566" t="str">
        <f>Utility</f>
        <v>Cleveland Water Utility</v>
      </c>
      <c r="E2" s="2566"/>
      <c r="F2" s="2566"/>
      <c r="G2" s="2566"/>
      <c r="H2" s="2566"/>
      <c r="I2" s="2566"/>
      <c r="J2" s="2566"/>
      <c r="K2" s="2566"/>
      <c r="L2" s="472"/>
      <c r="M2" s="2132"/>
      <c r="N2" s="2132"/>
    </row>
    <row r="3" spans="1:28" x14ac:dyDescent="0.3">
      <c r="A3" s="2132"/>
      <c r="B3" s="472"/>
      <c r="C3" s="472"/>
      <c r="D3" s="2611">
        <f>TestYear</f>
        <v>2023</v>
      </c>
      <c r="E3" s="2611"/>
      <c r="F3" s="2611"/>
      <c r="G3" s="2611"/>
      <c r="H3" s="2611"/>
      <c r="I3" s="2611"/>
      <c r="J3" s="2611"/>
      <c r="K3" s="2611"/>
      <c r="L3" s="472"/>
      <c r="M3" s="2132"/>
      <c r="N3" s="2132"/>
    </row>
    <row r="4" spans="1:28" ht="15" thickBot="1" x14ac:dyDescent="0.35">
      <c r="A4" s="2132"/>
      <c r="B4" s="434" t="str">
        <f>TestYear &amp; " Test Year"</f>
        <v>2023 Test Year</v>
      </c>
      <c r="C4" s="472"/>
      <c r="D4" s="2463" t="s">
        <v>1064</v>
      </c>
      <c r="E4" s="2463"/>
      <c r="F4" s="2463"/>
      <c r="G4" s="2463"/>
      <c r="H4" s="2463"/>
      <c r="I4" s="2463"/>
      <c r="J4" s="2463"/>
      <c r="K4" s="2463"/>
      <c r="L4" s="472"/>
      <c r="M4" s="2133" t="s">
        <v>1063</v>
      </c>
      <c r="N4" s="2132"/>
      <c r="R4" s="1623"/>
      <c r="S4" s="1623"/>
    </row>
    <row r="5" spans="1:28" ht="15.6" x14ac:dyDescent="0.3">
      <c r="A5" s="1157"/>
      <c r="B5" s="2134"/>
      <c r="C5" s="2826" t="s">
        <v>1024</v>
      </c>
      <c r="D5" s="2826"/>
      <c r="E5" s="2826"/>
      <c r="F5" s="2826"/>
      <c r="G5" s="2826"/>
      <c r="H5" s="2826"/>
      <c r="I5" s="2826"/>
      <c r="J5" s="2826"/>
      <c r="K5" s="2826"/>
      <c r="L5" s="2826"/>
      <c r="M5" s="2145"/>
      <c r="N5" s="1157"/>
      <c r="O5" s="1157"/>
      <c r="P5" s="1157"/>
      <c r="Q5" s="1157"/>
      <c r="R5" s="1623"/>
      <c r="S5" s="1623"/>
      <c r="AB5" s="1636" t="s">
        <v>1088</v>
      </c>
    </row>
    <row r="6" spans="1:28" ht="12.75" customHeight="1" x14ac:dyDescent="0.3">
      <c r="A6" s="1157"/>
      <c r="B6" s="2136"/>
      <c r="C6" s="477"/>
      <c r="D6" s="477"/>
      <c r="E6" s="477"/>
      <c r="F6" s="477"/>
      <c r="G6" s="477"/>
      <c r="H6" s="477"/>
      <c r="I6" s="477"/>
      <c r="J6" s="477"/>
      <c r="K6" s="477"/>
      <c r="L6" s="477"/>
      <c r="M6" s="2146"/>
      <c r="N6" s="1157"/>
      <c r="O6" s="2818" t="s">
        <v>1236</v>
      </c>
      <c r="P6" s="2803"/>
      <c r="Q6" s="2144"/>
      <c r="R6" s="1623"/>
      <c r="S6" s="1623"/>
      <c r="AB6" s="1636" t="s">
        <v>963</v>
      </c>
    </row>
    <row r="7" spans="1:28" ht="16.5" customHeight="1" x14ac:dyDescent="0.3">
      <c r="A7" s="1157"/>
      <c r="B7" s="2136"/>
      <c r="C7" s="2812" t="s">
        <v>1065</v>
      </c>
      <c r="D7" s="2812"/>
      <c r="E7" s="2812"/>
      <c r="F7" s="2812"/>
      <c r="G7" s="2812"/>
      <c r="H7" s="2812"/>
      <c r="I7" s="2812"/>
      <c r="J7" s="2812"/>
      <c r="K7" s="2812"/>
      <c r="L7" s="2812"/>
      <c r="M7" s="2146"/>
      <c r="N7" s="1157"/>
      <c r="O7" s="2819"/>
      <c r="P7" s="2807"/>
      <c r="Q7" s="2144"/>
      <c r="R7" s="1623"/>
      <c r="S7" s="1623"/>
    </row>
    <row r="8" spans="1:28" ht="15.75" customHeight="1" x14ac:dyDescent="0.3">
      <c r="A8" s="1157"/>
      <c r="B8" s="2136"/>
      <c r="C8" s="2812"/>
      <c r="D8" s="2812"/>
      <c r="E8" s="2812"/>
      <c r="F8" s="2812"/>
      <c r="G8" s="2812"/>
      <c r="H8" s="2812"/>
      <c r="I8" s="2812"/>
      <c r="J8" s="2812"/>
      <c r="K8" s="2812"/>
      <c r="L8" s="2812"/>
      <c r="M8" s="2146"/>
      <c r="N8" s="1157"/>
      <c r="O8" s="1157"/>
      <c r="P8" s="1157"/>
      <c r="Q8" s="1957"/>
      <c r="R8" s="1554"/>
      <c r="S8" s="1554"/>
    </row>
    <row r="9" spans="1:28" x14ac:dyDescent="0.3">
      <c r="A9" s="1157"/>
      <c r="B9" s="2136"/>
      <c r="C9" s="2812"/>
      <c r="D9" s="2812"/>
      <c r="E9" s="2812"/>
      <c r="F9" s="2812"/>
      <c r="G9" s="2812"/>
      <c r="H9" s="2812"/>
      <c r="I9" s="2812"/>
      <c r="J9" s="2812"/>
      <c r="K9" s="2812"/>
      <c r="L9" s="2812"/>
      <c r="M9" s="2146"/>
      <c r="N9" s="1157"/>
    </row>
    <row r="10" spans="1:28" ht="17.25" customHeight="1" x14ac:dyDescent="0.3">
      <c r="A10" s="1157"/>
      <c r="B10" s="2136"/>
      <c r="C10" s="2812"/>
      <c r="D10" s="2812"/>
      <c r="E10" s="2812"/>
      <c r="F10" s="2812"/>
      <c r="G10" s="2812"/>
      <c r="H10" s="2812"/>
      <c r="I10" s="2812"/>
      <c r="J10" s="2812"/>
      <c r="K10" s="2812"/>
      <c r="L10" s="2812"/>
      <c r="M10" s="2146"/>
      <c r="N10" s="1157"/>
    </row>
    <row r="11" spans="1:28" x14ac:dyDescent="0.3">
      <c r="A11" s="1157"/>
      <c r="B11" s="2136"/>
      <c r="C11" s="477"/>
      <c r="D11" s="477"/>
      <c r="E11" s="477"/>
      <c r="F11" s="477"/>
      <c r="G11" s="477"/>
      <c r="H11" s="477"/>
      <c r="I11" s="477"/>
      <c r="J11" s="477"/>
      <c r="K11" s="477"/>
      <c r="L11" s="477"/>
      <c r="M11" s="2146"/>
      <c r="N11" s="1157"/>
    </row>
    <row r="12" spans="1:28" x14ac:dyDescent="0.3">
      <c r="A12" s="1157"/>
      <c r="B12" s="2147" t="s">
        <v>657</v>
      </c>
      <c r="C12" s="2820" t="s">
        <v>1071</v>
      </c>
      <c r="D12" s="2820"/>
      <c r="E12" s="2820"/>
      <c r="F12" s="2820"/>
      <c r="G12" s="2820"/>
      <c r="H12" s="2820"/>
      <c r="I12" s="2820"/>
      <c r="J12" s="1630"/>
      <c r="K12" s="1634" t="s">
        <v>1088</v>
      </c>
      <c r="L12" s="1631"/>
      <c r="M12" s="2146"/>
      <c r="N12" s="1157"/>
    </row>
    <row r="13" spans="1:28" x14ac:dyDescent="0.3">
      <c r="A13" s="1157"/>
      <c r="B13" s="2136"/>
      <c r="C13" s="477"/>
      <c r="D13" s="477"/>
      <c r="E13" s="477"/>
      <c r="F13" s="477"/>
      <c r="G13" s="477"/>
      <c r="H13" s="477"/>
      <c r="I13" s="477"/>
      <c r="J13" s="477"/>
      <c r="K13" s="477"/>
      <c r="L13" s="477"/>
      <c r="M13" s="2146"/>
      <c r="N13" s="1157"/>
    </row>
    <row r="14" spans="1:28" x14ac:dyDescent="0.3">
      <c r="A14" s="1157"/>
      <c r="B14" s="2136"/>
      <c r="C14" s="2821" t="s">
        <v>1066</v>
      </c>
      <c r="D14" s="2821"/>
      <c r="E14" s="2821"/>
      <c r="F14" s="2821"/>
      <c r="G14" s="2821"/>
      <c r="H14" s="2821"/>
      <c r="I14" s="2821"/>
      <c r="J14" s="2821"/>
      <c r="K14" s="2821"/>
      <c r="L14" s="2821"/>
      <c r="M14" s="2146"/>
      <c r="N14" s="1157"/>
    </row>
    <row r="15" spans="1:28" ht="30" customHeight="1" x14ac:dyDescent="0.3">
      <c r="A15" s="1157"/>
      <c r="B15" s="2136"/>
      <c r="C15" s="477"/>
      <c r="D15" s="2815" t="s">
        <v>1516</v>
      </c>
      <c r="E15" s="2816"/>
      <c r="F15" s="2816"/>
      <c r="G15" s="2816"/>
      <c r="H15" s="2816"/>
      <c r="I15" s="2816"/>
      <c r="J15" s="2816"/>
      <c r="K15" s="2816"/>
      <c r="L15" s="2817"/>
      <c r="M15" s="2146"/>
      <c r="N15" s="1157"/>
    </row>
    <row r="16" spans="1:28" x14ac:dyDescent="0.3">
      <c r="A16" s="1157"/>
      <c r="B16" s="2136"/>
      <c r="C16" s="477"/>
      <c r="D16" s="477"/>
      <c r="E16" s="477"/>
      <c r="F16" s="477"/>
      <c r="G16" s="477"/>
      <c r="H16" s="477"/>
      <c r="I16" s="477"/>
      <c r="J16" s="477"/>
      <c r="K16" s="477"/>
      <c r="L16" s="477"/>
      <c r="M16" s="2146"/>
      <c r="N16" s="1157"/>
    </row>
    <row r="17" spans="1:14" x14ac:dyDescent="0.3">
      <c r="A17" s="1157"/>
      <c r="B17" s="2136"/>
      <c r="C17" s="2811" t="s">
        <v>1067</v>
      </c>
      <c r="D17" s="2811"/>
      <c r="E17" s="2811"/>
      <c r="F17" s="2811"/>
      <c r="G17" s="2811"/>
      <c r="H17" s="2811"/>
      <c r="I17" s="2811"/>
      <c r="J17" s="2811"/>
      <c r="K17" s="2811"/>
      <c r="L17" s="2811"/>
      <c r="M17" s="2146"/>
      <c r="N17" s="1157"/>
    </row>
    <row r="18" spans="1:14" ht="15" customHeight="1" x14ac:dyDescent="0.3">
      <c r="A18" s="1157"/>
      <c r="B18" s="2136"/>
      <c r="C18" s="477"/>
      <c r="D18" s="2815" t="s">
        <v>571</v>
      </c>
      <c r="E18" s="2816"/>
      <c r="F18" s="2816"/>
      <c r="G18" s="2816"/>
      <c r="H18" s="2816"/>
      <c r="I18" s="2816"/>
      <c r="J18" s="2816"/>
      <c r="K18" s="2816"/>
      <c r="L18" s="2817"/>
      <c r="M18" s="2146"/>
      <c r="N18" s="1157"/>
    </row>
    <row r="19" spans="1:14" x14ac:dyDescent="0.3">
      <c r="A19" s="1157"/>
      <c r="B19" s="2136"/>
      <c r="C19" s="481"/>
      <c r="D19" s="477"/>
      <c r="E19" s="477"/>
      <c r="F19" s="477"/>
      <c r="G19" s="477"/>
      <c r="H19" s="477"/>
      <c r="I19" s="477"/>
      <c r="J19" s="477"/>
      <c r="K19" s="477"/>
      <c r="L19" s="477"/>
      <c r="M19" s="2146"/>
      <c r="N19" s="1157"/>
    </row>
    <row r="20" spans="1:14" x14ac:dyDescent="0.3">
      <c r="A20" s="1157"/>
      <c r="B20" s="2136"/>
      <c r="C20" s="2811" t="s">
        <v>1068</v>
      </c>
      <c r="D20" s="2811"/>
      <c r="E20" s="2811"/>
      <c r="F20" s="2811"/>
      <c r="G20" s="2811"/>
      <c r="H20" s="2811"/>
      <c r="I20" s="2811"/>
      <c r="J20" s="2811"/>
      <c r="K20" s="2811"/>
      <c r="L20" s="2811"/>
      <c r="M20" s="2146"/>
      <c r="N20" s="1157"/>
    </row>
    <row r="21" spans="1:14" ht="15" customHeight="1" x14ac:dyDescent="0.3">
      <c r="A21" s="1157"/>
      <c r="B21" s="2136"/>
      <c r="C21" s="477"/>
      <c r="D21" s="1626" t="s">
        <v>6</v>
      </c>
      <c r="E21" s="2822" t="s">
        <v>1081</v>
      </c>
      <c r="F21" s="2822"/>
      <c r="G21" s="1621"/>
      <c r="H21" s="1621"/>
      <c r="I21" s="1621"/>
      <c r="J21" s="1621"/>
      <c r="K21" s="1621"/>
      <c r="L21" s="1621"/>
      <c r="M21" s="2146"/>
      <c r="N21" s="1157"/>
    </row>
    <row r="22" spans="1:14" ht="15" customHeight="1" x14ac:dyDescent="0.3">
      <c r="A22" s="1157"/>
      <c r="B22" s="2136"/>
      <c r="C22" s="477"/>
      <c r="D22" s="2123">
        <v>2022</v>
      </c>
      <c r="E22" s="2832">
        <v>0</v>
      </c>
      <c r="F22" s="2832"/>
      <c r="G22" s="1621"/>
      <c r="H22" s="1621"/>
      <c r="I22" s="1621"/>
      <c r="J22" s="1621"/>
      <c r="K22" s="1621"/>
      <c r="L22" s="1621"/>
      <c r="M22" s="2146"/>
      <c r="N22" s="1157"/>
    </row>
    <row r="23" spans="1:14" ht="15" customHeight="1" x14ac:dyDescent="0.3">
      <c r="A23" s="1157"/>
      <c r="B23" s="2136"/>
      <c r="C23" s="477"/>
      <c r="D23" s="2123">
        <v>2021</v>
      </c>
      <c r="E23" s="2832">
        <v>0</v>
      </c>
      <c r="F23" s="2832"/>
      <c r="G23" s="1621"/>
      <c r="H23" s="1621"/>
      <c r="I23" s="1621"/>
      <c r="J23" s="1621"/>
      <c r="K23" s="1621"/>
      <c r="L23" s="1621"/>
      <c r="M23" s="2146"/>
      <c r="N23" s="1157"/>
    </row>
    <row r="24" spans="1:14" ht="15" customHeight="1" x14ac:dyDescent="0.3">
      <c r="A24" s="1157"/>
      <c r="B24" s="2136"/>
      <c r="C24" s="477"/>
      <c r="D24" s="2123">
        <v>2020</v>
      </c>
      <c r="E24" s="2832">
        <v>0</v>
      </c>
      <c r="F24" s="2832"/>
      <c r="G24" s="1621"/>
      <c r="H24" s="1621"/>
      <c r="I24" s="1621"/>
      <c r="J24" s="1621"/>
      <c r="K24" s="1621"/>
      <c r="L24" s="1621"/>
      <c r="M24" s="2146"/>
      <c r="N24" s="1157"/>
    </row>
    <row r="25" spans="1:14" x14ac:dyDescent="0.3">
      <c r="A25" s="1157"/>
      <c r="B25" s="2136"/>
      <c r="C25" s="481"/>
      <c r="D25" s="477"/>
      <c r="E25" s="477"/>
      <c r="F25" s="477"/>
      <c r="G25" s="477"/>
      <c r="H25" s="2117"/>
      <c r="I25" s="481"/>
      <c r="J25" s="481"/>
      <c r="K25" s="481"/>
      <c r="L25" s="477"/>
      <c r="M25" s="2146"/>
      <c r="N25" s="1157"/>
    </row>
    <row r="26" spans="1:14" x14ac:dyDescent="0.3">
      <c r="A26" s="1157"/>
      <c r="B26" s="2136"/>
      <c r="C26" s="2811" t="s">
        <v>1069</v>
      </c>
      <c r="D26" s="2811"/>
      <c r="E26" s="2811"/>
      <c r="F26" s="2811"/>
      <c r="G26" s="2811"/>
      <c r="H26" s="2811"/>
      <c r="I26" s="2811"/>
      <c r="J26" s="2811"/>
      <c r="K26" s="2811"/>
      <c r="L26" s="2811"/>
      <c r="M26" s="2146"/>
      <c r="N26" s="1157"/>
    </row>
    <row r="27" spans="1:14" x14ac:dyDescent="0.3">
      <c r="A27" s="1157"/>
      <c r="B27" s="2136"/>
      <c r="C27" s="477"/>
      <c r="D27" s="2815" t="s">
        <v>1520</v>
      </c>
      <c r="E27" s="2816"/>
      <c r="F27" s="2816"/>
      <c r="G27" s="2816"/>
      <c r="H27" s="2816"/>
      <c r="I27" s="2816"/>
      <c r="J27" s="2816"/>
      <c r="K27" s="2816"/>
      <c r="L27" s="2817"/>
      <c r="M27" s="2146"/>
      <c r="N27" s="1157"/>
    </row>
    <row r="28" spans="1:14" x14ac:dyDescent="0.3">
      <c r="A28" s="1157"/>
      <c r="B28" s="2136"/>
      <c r="C28" s="477"/>
      <c r="D28" s="477"/>
      <c r="E28" s="477"/>
      <c r="F28" s="477"/>
      <c r="G28" s="477"/>
      <c r="H28" s="477"/>
      <c r="I28" s="477"/>
      <c r="J28" s="477"/>
      <c r="K28" s="477"/>
      <c r="L28" s="477"/>
      <c r="M28" s="2146"/>
      <c r="N28" s="1157"/>
    </row>
    <row r="29" spans="1:14" x14ac:dyDescent="0.3">
      <c r="A29" s="1157"/>
      <c r="B29" s="2136"/>
      <c r="C29" s="2811" t="s">
        <v>1070</v>
      </c>
      <c r="D29" s="2811"/>
      <c r="E29" s="2811"/>
      <c r="F29" s="2811"/>
      <c r="G29" s="2811"/>
      <c r="H29" s="2811"/>
      <c r="I29" s="2811"/>
      <c r="J29" s="2811"/>
      <c r="K29" s="2811"/>
      <c r="L29" s="2811"/>
      <c r="M29" s="2146"/>
      <c r="N29" s="1157"/>
    </row>
    <row r="30" spans="1:14" ht="60" customHeight="1" x14ac:dyDescent="0.3">
      <c r="A30" s="1157"/>
      <c r="B30" s="2136"/>
      <c r="C30" s="477"/>
      <c r="D30" s="2815" t="s">
        <v>1507</v>
      </c>
      <c r="E30" s="2816"/>
      <c r="F30" s="2816"/>
      <c r="G30" s="2816"/>
      <c r="H30" s="2816"/>
      <c r="I30" s="2816"/>
      <c r="J30" s="2816"/>
      <c r="K30" s="2816"/>
      <c r="L30" s="2817"/>
      <c r="M30" s="2146"/>
      <c r="N30" s="1157"/>
    </row>
    <row r="31" spans="1:14" x14ac:dyDescent="0.3">
      <c r="A31" s="1157"/>
      <c r="B31" s="2136"/>
      <c r="C31" s="477"/>
      <c r="D31" s="2811"/>
      <c r="E31" s="2811"/>
      <c r="F31" s="2811"/>
      <c r="G31" s="477"/>
      <c r="H31" s="477"/>
      <c r="I31" s="477"/>
      <c r="J31" s="477"/>
      <c r="K31" s="477"/>
      <c r="L31" s="477"/>
      <c r="M31" s="2146"/>
      <c r="N31" s="1157"/>
    </row>
    <row r="32" spans="1:14" ht="40.5" customHeight="1" x14ac:dyDescent="0.3">
      <c r="A32" s="1157"/>
      <c r="B32" s="2148" t="s">
        <v>658</v>
      </c>
      <c r="C32" s="2833" t="s">
        <v>1072</v>
      </c>
      <c r="D32" s="2833"/>
      <c r="E32" s="2833"/>
      <c r="F32" s="2833"/>
      <c r="G32" s="2833"/>
      <c r="H32" s="2833"/>
      <c r="I32" s="2833"/>
      <c r="J32" s="1632"/>
      <c r="K32" s="1635" t="s">
        <v>963</v>
      </c>
      <c r="L32" s="1633"/>
      <c r="M32" s="2146"/>
      <c r="N32" s="1157"/>
    </row>
    <row r="33" spans="1:14" x14ac:dyDescent="0.3">
      <c r="A33" s="1157"/>
      <c r="B33" s="2136"/>
      <c r="C33" s="477"/>
      <c r="D33" s="477"/>
      <c r="E33" s="477"/>
      <c r="F33" s="477"/>
      <c r="G33" s="477"/>
      <c r="H33" s="477"/>
      <c r="I33" s="477"/>
      <c r="J33" s="477"/>
      <c r="K33" s="477"/>
      <c r="L33" s="477"/>
      <c r="M33" s="2146"/>
      <c r="N33" s="1157"/>
    </row>
    <row r="34" spans="1:14" x14ac:dyDescent="0.3">
      <c r="A34" s="1157"/>
      <c r="B34" s="2136"/>
      <c r="C34" s="2811" t="s">
        <v>1073</v>
      </c>
      <c r="D34" s="2811"/>
      <c r="E34" s="2811"/>
      <c r="F34" s="2811"/>
      <c r="G34" s="2811"/>
      <c r="H34" s="2811"/>
      <c r="I34" s="2811"/>
      <c r="J34" s="2811"/>
      <c r="K34" s="2811"/>
      <c r="L34" s="2811"/>
      <c r="M34" s="2146"/>
      <c r="N34" s="1157"/>
    </row>
    <row r="35" spans="1:14" ht="60" customHeight="1" x14ac:dyDescent="0.3">
      <c r="A35" s="1157"/>
      <c r="B35" s="2136"/>
      <c r="C35" s="477"/>
      <c r="D35" s="2815"/>
      <c r="E35" s="2816"/>
      <c r="F35" s="2816"/>
      <c r="G35" s="2816"/>
      <c r="H35" s="2816"/>
      <c r="I35" s="2816"/>
      <c r="J35" s="2816"/>
      <c r="K35" s="2816"/>
      <c r="L35" s="2817"/>
      <c r="M35" s="2146"/>
      <c r="N35" s="1157"/>
    </row>
    <row r="36" spans="1:14" x14ac:dyDescent="0.3">
      <c r="A36" s="1157"/>
      <c r="B36" s="2138"/>
      <c r="C36" s="2828"/>
      <c r="D36" s="2828"/>
      <c r="E36" s="2122"/>
      <c r="F36" s="2122"/>
      <c r="G36" s="2122"/>
      <c r="H36" s="2122"/>
      <c r="I36" s="2122"/>
      <c r="J36" s="2122"/>
      <c r="K36" s="1560"/>
      <c r="L36" s="1560"/>
      <c r="M36" s="2146"/>
      <c r="N36" s="1157"/>
    </row>
    <row r="37" spans="1:14" x14ac:dyDescent="0.3">
      <c r="A37" s="1157"/>
      <c r="B37" s="2136"/>
      <c r="C37" s="2120" t="s">
        <v>1074</v>
      </c>
      <c r="D37" s="1622"/>
      <c r="E37" s="2120"/>
      <c r="F37" s="2120"/>
      <c r="G37" s="2120"/>
      <c r="H37" s="2120"/>
      <c r="I37" s="2120"/>
      <c r="J37" s="2120"/>
      <c r="K37" s="2120"/>
      <c r="L37" s="2120"/>
      <c r="M37" s="2146"/>
      <c r="N37" s="1157"/>
    </row>
    <row r="38" spans="1:14" ht="60" customHeight="1" x14ac:dyDescent="0.3">
      <c r="A38" s="1157"/>
      <c r="B38" s="2136"/>
      <c r="C38" s="1260"/>
      <c r="D38" s="2823"/>
      <c r="E38" s="2824"/>
      <c r="F38" s="2824"/>
      <c r="G38" s="2824"/>
      <c r="H38" s="2824"/>
      <c r="I38" s="2824"/>
      <c r="J38" s="2824"/>
      <c r="K38" s="2824"/>
      <c r="L38" s="2825"/>
      <c r="M38" s="2146"/>
      <c r="N38" s="1157"/>
    </row>
    <row r="39" spans="1:14" x14ac:dyDescent="0.3">
      <c r="A39" s="1157"/>
      <c r="B39" s="2136"/>
      <c r="C39" s="2813"/>
      <c r="D39" s="2814"/>
      <c r="E39" s="477"/>
      <c r="F39" s="477"/>
      <c r="G39" s="477"/>
      <c r="H39" s="477"/>
      <c r="I39" s="477"/>
      <c r="J39" s="477"/>
      <c r="K39" s="477"/>
      <c r="L39" s="477"/>
      <c r="M39" s="2146"/>
      <c r="N39" s="1157"/>
    </row>
    <row r="40" spans="1:14" x14ac:dyDescent="0.3">
      <c r="A40" s="1157"/>
      <c r="B40" s="2136"/>
      <c r="C40" s="2811" t="s">
        <v>1075</v>
      </c>
      <c r="D40" s="2811"/>
      <c r="E40" s="2811"/>
      <c r="F40" s="2811"/>
      <c r="G40" s="2811"/>
      <c r="H40" s="2811"/>
      <c r="I40" s="2811"/>
      <c r="J40" s="2811"/>
      <c r="K40" s="2811"/>
      <c r="L40" s="2811"/>
      <c r="M40" s="2146"/>
      <c r="N40" s="1157"/>
    </row>
    <row r="41" spans="1:14" x14ac:dyDescent="0.3">
      <c r="A41" s="1157"/>
      <c r="B41" s="2136"/>
      <c r="C41" s="1260"/>
      <c r="D41" s="2823"/>
      <c r="E41" s="2824"/>
      <c r="F41" s="2824"/>
      <c r="G41" s="2824"/>
      <c r="H41" s="2824"/>
      <c r="I41" s="2824"/>
      <c r="J41" s="2824"/>
      <c r="K41" s="2824"/>
      <c r="L41" s="2825"/>
      <c r="M41" s="2146"/>
      <c r="N41" s="1157"/>
    </row>
    <row r="42" spans="1:14" x14ac:dyDescent="0.3">
      <c r="A42" s="1157"/>
      <c r="B42" s="2136"/>
      <c r="C42" s="2813"/>
      <c r="D42" s="2814"/>
      <c r="E42" s="477"/>
      <c r="F42" s="477"/>
      <c r="G42" s="477"/>
      <c r="H42" s="477"/>
      <c r="I42" s="477"/>
      <c r="J42" s="477"/>
      <c r="K42" s="477"/>
      <c r="L42" s="477"/>
      <c r="M42" s="2146"/>
      <c r="N42" s="1157"/>
    </row>
    <row r="43" spans="1:14" x14ac:dyDescent="0.3">
      <c r="A43" s="1157"/>
      <c r="B43" s="2136"/>
      <c r="C43" s="2811" t="s">
        <v>1076</v>
      </c>
      <c r="D43" s="2811"/>
      <c r="E43" s="2811"/>
      <c r="F43" s="2811"/>
      <c r="G43" s="2811"/>
      <c r="H43" s="2811"/>
      <c r="I43" s="2811"/>
      <c r="J43" s="2811"/>
      <c r="K43" s="2811"/>
      <c r="L43" s="2811"/>
      <c r="M43" s="2146"/>
      <c r="N43" s="1157"/>
    </row>
    <row r="44" spans="1:14" x14ac:dyDescent="0.3">
      <c r="A44" s="1157"/>
      <c r="B44" s="2136"/>
      <c r="C44" s="481"/>
      <c r="D44" s="2829"/>
      <c r="E44" s="2830"/>
      <c r="F44" s="2830"/>
      <c r="G44" s="2830"/>
      <c r="H44" s="2830"/>
      <c r="I44" s="2830"/>
      <c r="J44" s="2830"/>
      <c r="K44" s="2830"/>
      <c r="L44" s="2831"/>
      <c r="M44" s="2146"/>
      <c r="N44" s="1157"/>
    </row>
    <row r="45" spans="1:14" x14ac:dyDescent="0.3">
      <c r="A45" s="1157"/>
      <c r="B45" s="2136"/>
      <c r="C45" s="477"/>
      <c r="D45" s="477"/>
      <c r="E45" s="477"/>
      <c r="F45" s="477"/>
      <c r="G45" s="477"/>
      <c r="H45" s="477"/>
      <c r="I45" s="477"/>
      <c r="J45" s="477"/>
      <c r="K45" s="477"/>
      <c r="L45" s="477"/>
      <c r="M45" s="2146"/>
      <c r="N45" s="1157"/>
    </row>
    <row r="46" spans="1:14" x14ac:dyDescent="0.3">
      <c r="A46" s="1157"/>
      <c r="B46" s="2136"/>
      <c r="C46" s="2811" t="s">
        <v>1077</v>
      </c>
      <c r="D46" s="2811"/>
      <c r="E46" s="2811"/>
      <c r="F46" s="2811"/>
      <c r="G46" s="2811"/>
      <c r="H46" s="2811"/>
      <c r="I46" s="2811"/>
      <c r="J46" s="2811"/>
      <c r="K46" s="2811"/>
      <c r="L46" s="2811"/>
      <c r="M46" s="2146"/>
      <c r="N46" s="1157"/>
    </row>
    <row r="47" spans="1:14" ht="60" customHeight="1" x14ac:dyDescent="0.3">
      <c r="A47" s="1157"/>
      <c r="B47" s="2136"/>
      <c r="C47" s="477"/>
      <c r="D47" s="2815"/>
      <c r="E47" s="2816"/>
      <c r="F47" s="2816"/>
      <c r="G47" s="2816"/>
      <c r="H47" s="2816"/>
      <c r="I47" s="2816"/>
      <c r="J47" s="2816"/>
      <c r="K47" s="2816"/>
      <c r="L47" s="2817"/>
      <c r="M47" s="2146"/>
      <c r="N47" s="1157"/>
    </row>
    <row r="48" spans="1:14" x14ac:dyDescent="0.3">
      <c r="A48" s="1157"/>
      <c r="B48" s="2136"/>
      <c r="C48" s="481"/>
      <c r="D48" s="2121"/>
      <c r="E48" s="477"/>
      <c r="F48" s="477"/>
      <c r="G48" s="477"/>
      <c r="H48" s="477"/>
      <c r="I48" s="477"/>
      <c r="J48" s="477"/>
      <c r="K48" s="535"/>
      <c r="L48" s="477"/>
      <c r="M48" s="2146"/>
      <c r="N48" s="1157"/>
    </row>
    <row r="49" spans="1:16" x14ac:dyDescent="0.3">
      <c r="A49" s="1157"/>
      <c r="B49" s="2136"/>
      <c r="C49" s="2811" t="s">
        <v>1078</v>
      </c>
      <c r="D49" s="2811"/>
      <c r="E49" s="2811"/>
      <c r="F49" s="2811"/>
      <c r="G49" s="2811"/>
      <c r="H49" s="2811"/>
      <c r="I49" s="2811"/>
      <c r="J49" s="2811"/>
      <c r="K49" s="2811"/>
      <c r="L49" s="2811"/>
      <c r="M49" s="2146"/>
      <c r="N49" s="1157"/>
    </row>
    <row r="50" spans="1:16" x14ac:dyDescent="0.3">
      <c r="A50" s="1157"/>
      <c r="B50" s="2136"/>
      <c r="C50" s="477"/>
      <c r="D50" s="2815"/>
      <c r="E50" s="2816"/>
      <c r="F50" s="2816"/>
      <c r="G50" s="2816"/>
      <c r="H50" s="2816"/>
      <c r="I50" s="2816"/>
      <c r="J50" s="2816"/>
      <c r="K50" s="2816"/>
      <c r="L50" s="2817"/>
      <c r="M50" s="2146"/>
      <c r="N50" s="1157"/>
    </row>
    <row r="51" spans="1:16" x14ac:dyDescent="0.3">
      <c r="A51" s="1157"/>
      <c r="B51" s="2136"/>
      <c r="C51" s="477"/>
      <c r="D51" s="477"/>
      <c r="E51" s="477"/>
      <c r="F51" s="477"/>
      <c r="G51" s="477"/>
      <c r="H51" s="477"/>
      <c r="I51" s="477"/>
      <c r="J51" s="477"/>
      <c r="K51" s="477"/>
      <c r="L51" s="477"/>
      <c r="M51" s="2146"/>
      <c r="N51" s="1157"/>
    </row>
    <row r="52" spans="1:16" ht="28.5" customHeight="1" x14ac:dyDescent="0.3">
      <c r="A52" s="1157"/>
      <c r="B52" s="2136"/>
      <c r="C52" s="2783" t="s">
        <v>1080</v>
      </c>
      <c r="D52" s="2783"/>
      <c r="E52" s="2783"/>
      <c r="F52" s="2783"/>
      <c r="G52" s="2783"/>
      <c r="H52" s="2783"/>
      <c r="I52" s="2783"/>
      <c r="J52" s="2783"/>
      <c r="K52" s="2783"/>
      <c r="L52" s="2783"/>
      <c r="M52" s="2146"/>
      <c r="N52" s="1157"/>
    </row>
    <row r="53" spans="1:16" s="1552" customFormat="1" ht="60" customHeight="1" x14ac:dyDescent="0.3">
      <c r="A53" s="1956"/>
      <c r="B53" s="2139"/>
      <c r="C53" s="1621"/>
      <c r="D53" s="2823"/>
      <c r="E53" s="2824"/>
      <c r="F53" s="2824"/>
      <c r="G53" s="2824"/>
      <c r="H53" s="2824"/>
      <c r="I53" s="2824"/>
      <c r="J53" s="2824"/>
      <c r="K53" s="2824"/>
      <c r="L53" s="2825"/>
      <c r="M53" s="2149"/>
      <c r="N53" s="1956"/>
    </row>
    <row r="54" spans="1:16" x14ac:dyDescent="0.3">
      <c r="A54" s="1157"/>
      <c r="B54" s="2136"/>
      <c r="C54" s="477"/>
      <c r="D54" s="477"/>
      <c r="E54" s="477"/>
      <c r="F54" s="477"/>
      <c r="G54" s="477"/>
      <c r="H54" s="477"/>
      <c r="I54" s="477"/>
      <c r="J54" s="477"/>
      <c r="K54" s="477"/>
      <c r="L54" s="477"/>
      <c r="M54" s="2146"/>
      <c r="N54" s="1157"/>
    </row>
    <row r="55" spans="1:16" ht="51.75" customHeight="1" x14ac:dyDescent="0.3">
      <c r="A55" s="1157"/>
      <c r="B55" s="2136"/>
      <c r="C55" s="2792" t="s">
        <v>1079</v>
      </c>
      <c r="D55" s="2827"/>
      <c r="E55" s="2827"/>
      <c r="F55" s="2827"/>
      <c r="G55" s="2827"/>
      <c r="H55" s="2827"/>
      <c r="I55" s="2827"/>
      <c r="J55" s="2827"/>
      <c r="K55" s="2827"/>
      <c r="L55" s="2827"/>
      <c r="M55" s="2146"/>
      <c r="N55" s="1157"/>
    </row>
    <row r="56" spans="1:16" ht="60" customHeight="1" x14ac:dyDescent="0.3">
      <c r="A56" s="1157"/>
      <c r="B56" s="2136"/>
      <c r="C56" s="477"/>
      <c r="D56" s="2815"/>
      <c r="E56" s="2816"/>
      <c r="F56" s="2816"/>
      <c r="G56" s="2816"/>
      <c r="H56" s="2816"/>
      <c r="I56" s="2816"/>
      <c r="J56" s="2816"/>
      <c r="K56" s="2816"/>
      <c r="L56" s="2817"/>
      <c r="M56" s="2146"/>
      <c r="N56" s="1157"/>
    </row>
    <row r="57" spans="1:16" ht="15" thickBot="1" x14ac:dyDescent="0.35">
      <c r="A57" s="1157"/>
      <c r="B57" s="2141"/>
      <c r="C57" s="2142"/>
      <c r="D57" s="2142"/>
      <c r="E57" s="2142"/>
      <c r="F57" s="2142"/>
      <c r="G57" s="2142"/>
      <c r="H57" s="2142"/>
      <c r="I57" s="2142"/>
      <c r="J57" s="2142"/>
      <c r="K57" s="2142"/>
      <c r="L57" s="2142"/>
      <c r="M57" s="2150"/>
      <c r="N57" s="1957"/>
      <c r="O57" s="1554"/>
      <c r="P57" s="1554"/>
    </row>
    <row r="58" spans="1:16" x14ac:dyDescent="0.3">
      <c r="A58" s="1157"/>
      <c r="B58" s="1157"/>
      <c r="C58" s="1157"/>
      <c r="D58" s="1157"/>
      <c r="E58" s="1157"/>
      <c r="F58" s="1157"/>
      <c r="G58" s="1157"/>
      <c r="H58" s="1157"/>
      <c r="I58" s="1157"/>
      <c r="J58" s="1157"/>
      <c r="K58" s="1157"/>
      <c r="L58" s="1157"/>
      <c r="M58" s="1157"/>
      <c r="N58" s="1957"/>
      <c r="O58" s="1554"/>
      <c r="P58" s="1554"/>
    </row>
    <row r="59" spans="1:16" x14ac:dyDescent="0.3">
      <c r="A59" s="1157"/>
      <c r="B59" s="1157"/>
      <c r="C59" s="1157"/>
      <c r="D59" s="1157"/>
      <c r="E59" s="1157"/>
      <c r="F59" s="1157"/>
      <c r="G59" s="1157"/>
      <c r="H59" s="1157"/>
      <c r="I59" s="1157"/>
      <c r="J59" s="1157"/>
      <c r="K59" s="1157"/>
      <c r="L59" s="1157"/>
      <c r="M59" s="1157"/>
      <c r="N59" s="1957"/>
      <c r="O59" s="1554"/>
      <c r="P59" s="1554"/>
    </row>
    <row r="60" spans="1:16" x14ac:dyDescent="0.3">
      <c r="N60" s="1554"/>
      <c r="O60" s="1554"/>
      <c r="P60" s="1554"/>
    </row>
    <row r="61" spans="1:16" x14ac:dyDescent="0.3">
      <c r="N61" s="1554"/>
      <c r="O61" s="1554"/>
      <c r="P61" s="1554"/>
    </row>
    <row r="62" spans="1:16" x14ac:dyDescent="0.3">
      <c r="N62" s="1554"/>
      <c r="O62" s="1554"/>
      <c r="P62" s="1554"/>
    </row>
    <row r="63" spans="1:16" x14ac:dyDescent="0.3">
      <c r="N63" s="1554"/>
      <c r="O63" s="1554"/>
      <c r="P63" s="1554"/>
    </row>
    <row r="64" spans="1:16" x14ac:dyDescent="0.3">
      <c r="N64" s="1554"/>
      <c r="O64" s="1554"/>
      <c r="P64" s="1554"/>
    </row>
    <row r="65" spans="14:16" x14ac:dyDescent="0.3">
      <c r="N65" s="1554"/>
      <c r="O65" s="1554"/>
      <c r="P65" s="1554"/>
    </row>
    <row r="66" spans="14:16" x14ac:dyDescent="0.3">
      <c r="N66" s="1554"/>
      <c r="O66" s="1554"/>
      <c r="P66" s="1554"/>
    </row>
    <row r="67" spans="14:16" x14ac:dyDescent="0.3">
      <c r="N67" s="1554"/>
      <c r="O67" s="1554"/>
      <c r="P67" s="1554"/>
    </row>
    <row r="68" spans="14:16" x14ac:dyDescent="0.3">
      <c r="N68" s="1554"/>
      <c r="O68" s="1554"/>
      <c r="P68" s="1554"/>
    </row>
    <row r="69" spans="14:16" x14ac:dyDescent="0.3">
      <c r="N69" s="1554"/>
      <c r="O69" s="1554"/>
      <c r="P69" s="1554"/>
    </row>
    <row r="70" spans="14:16" x14ac:dyDescent="0.3">
      <c r="N70" s="1554"/>
      <c r="O70" s="1554"/>
      <c r="P70" s="1554"/>
    </row>
    <row r="71" spans="14:16" x14ac:dyDescent="0.3">
      <c r="N71" s="1554"/>
      <c r="O71" s="1554"/>
      <c r="P71" s="1554"/>
    </row>
    <row r="72" spans="14:16" x14ac:dyDescent="0.3">
      <c r="N72" s="1554"/>
      <c r="O72" s="1554"/>
      <c r="P72" s="1554"/>
    </row>
    <row r="73" spans="14:16" x14ac:dyDescent="0.3">
      <c r="N73" s="1554"/>
      <c r="O73" s="1554"/>
      <c r="P73" s="1554"/>
    </row>
    <row r="74" spans="14:16" x14ac:dyDescent="0.3">
      <c r="N74" s="1554"/>
      <c r="O74" s="1554"/>
      <c r="P74" s="1554"/>
    </row>
    <row r="75" spans="14:16" x14ac:dyDescent="0.3">
      <c r="N75" s="1554"/>
      <c r="O75" s="1554"/>
      <c r="P75" s="1554"/>
    </row>
    <row r="76" spans="14:16" x14ac:dyDescent="0.3">
      <c r="N76" s="1554"/>
      <c r="O76" s="1554"/>
      <c r="P76" s="1554"/>
    </row>
    <row r="77" spans="14:16" x14ac:dyDescent="0.3">
      <c r="N77" s="1554"/>
      <c r="O77" s="1554"/>
      <c r="P77" s="1554"/>
    </row>
    <row r="78" spans="14:16" x14ac:dyDescent="0.3">
      <c r="N78" s="1554"/>
      <c r="O78" s="1554"/>
      <c r="P78" s="1554"/>
    </row>
    <row r="79" spans="14:16" x14ac:dyDescent="0.3">
      <c r="N79" s="1554"/>
      <c r="O79" s="1554"/>
      <c r="P79" s="1554"/>
    </row>
    <row r="80" spans="14:16" x14ac:dyDescent="0.3">
      <c r="N80" s="1554"/>
      <c r="O80" s="1554"/>
      <c r="P80" s="1554"/>
    </row>
    <row r="81" spans="14:16" x14ac:dyDescent="0.3">
      <c r="N81" s="1554"/>
      <c r="O81" s="1554"/>
      <c r="P81" s="1554"/>
    </row>
    <row r="82" spans="14:16" x14ac:dyDescent="0.3">
      <c r="N82" s="1554"/>
      <c r="O82" s="1554"/>
      <c r="P82" s="1554"/>
    </row>
    <row r="83" spans="14:16" x14ac:dyDescent="0.3">
      <c r="N83" s="1554"/>
      <c r="O83" s="1554"/>
      <c r="P83" s="1554"/>
    </row>
    <row r="84" spans="14:16" x14ac:dyDescent="0.3">
      <c r="N84" s="1554"/>
      <c r="O84" s="1554"/>
      <c r="P84" s="1554"/>
    </row>
    <row r="85" spans="14:16" x14ac:dyDescent="0.3">
      <c r="N85" s="1554"/>
      <c r="O85" s="1554"/>
      <c r="P85" s="1554"/>
    </row>
    <row r="86" spans="14:16" x14ac:dyDescent="0.3">
      <c r="N86" s="1554"/>
      <c r="O86" s="1554"/>
      <c r="P86" s="1554"/>
    </row>
    <row r="87" spans="14:16" x14ac:dyDescent="0.3">
      <c r="N87" s="1554"/>
      <c r="O87" s="1554"/>
      <c r="P87" s="1554"/>
    </row>
  </sheetData>
  <sheetProtection password="E593" sheet="1" objects="1" scenarios="1"/>
  <mergeCells count="40">
    <mergeCell ref="D56:L56"/>
    <mergeCell ref="D50:L50"/>
    <mergeCell ref="D47:L47"/>
    <mergeCell ref="D44:L44"/>
    <mergeCell ref="E22:F22"/>
    <mergeCell ref="E23:F23"/>
    <mergeCell ref="E24:F24"/>
    <mergeCell ref="C34:L34"/>
    <mergeCell ref="C32:I32"/>
    <mergeCell ref="D53:L53"/>
    <mergeCell ref="D38:L38"/>
    <mergeCell ref="D41:L41"/>
    <mergeCell ref="D2:K2"/>
    <mergeCell ref="C5:L5"/>
    <mergeCell ref="C55:L55"/>
    <mergeCell ref="D31:F31"/>
    <mergeCell ref="C36:D36"/>
    <mergeCell ref="C29:L29"/>
    <mergeCell ref="C26:L26"/>
    <mergeCell ref="D27:L27"/>
    <mergeCell ref="D35:L35"/>
    <mergeCell ref="D30:L30"/>
    <mergeCell ref="C40:L40"/>
    <mergeCell ref="C43:L43"/>
    <mergeCell ref="O6:P7"/>
    <mergeCell ref="D4:K4"/>
    <mergeCell ref="C12:I12"/>
    <mergeCell ref="C14:L14"/>
    <mergeCell ref="D18:L18"/>
    <mergeCell ref="E21:F21"/>
    <mergeCell ref="D3:K3"/>
    <mergeCell ref="C20:L20"/>
    <mergeCell ref="C52:L52"/>
    <mergeCell ref="C46:L46"/>
    <mergeCell ref="C49:L49"/>
    <mergeCell ref="C7:L10"/>
    <mergeCell ref="C39:D39"/>
    <mergeCell ref="C42:D42"/>
    <mergeCell ref="D15:L15"/>
    <mergeCell ref="C17:L17"/>
  </mergeCells>
  <dataValidations count="1">
    <dataValidation type="list" allowBlank="1" showInputMessage="1" showErrorMessage="1" sqref="K12 K32">
      <formula1>$AB$5:$AB$6</formula1>
    </dataValidation>
  </dataValidations>
  <pageMargins left="0.7" right="0.7" top="0.75" bottom="0.75" header="0.3" footer="0.3"/>
  <pageSetup scale="74" orientation="portrait" r:id="rId1"/>
  <rowBreaks count="1" manualBreakCount="1">
    <brk id="36" min="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69986" r:id="rId4" name="Button 2">
              <controlPr defaultSize="0" print="0" autoFill="0" autoPict="0" macro="[0]!PrintAttach19a">
                <anchor moveWithCells="1" sizeWithCells="1">
                  <from>
                    <xdr:col>10</xdr:col>
                    <xdr:colOff>419100</xdr:colOff>
                    <xdr:row>0</xdr:row>
                    <xdr:rowOff>76200</xdr:rowOff>
                  </from>
                  <to>
                    <xdr:col>13</xdr:col>
                    <xdr:colOff>0</xdr:colOff>
                    <xdr:row>0</xdr:row>
                    <xdr:rowOff>419100</xdr:rowOff>
                  </to>
                </anchor>
              </controlPr>
            </control>
          </mc:Choice>
        </mc:AlternateContent>
        <mc:AlternateContent xmlns:mc="http://schemas.openxmlformats.org/markup-compatibility/2006">
          <mc:Choice Requires="x14">
            <control shapeId="169987" r:id="rId5" name="Button 3">
              <controlPr defaultSize="0" print="0" autoFill="0" autoPict="0" macro="[0]!BackMain">
                <anchor moveWithCells="1" sizeWithCells="1">
                  <from>
                    <xdr:col>1</xdr:col>
                    <xdr:colOff>22860</xdr:colOff>
                    <xdr:row>0</xdr:row>
                    <xdr:rowOff>121920</xdr:rowOff>
                  </from>
                  <to>
                    <xdr:col>2</xdr:col>
                    <xdr:colOff>190500</xdr:colOff>
                    <xdr:row>1</xdr:row>
                    <xdr:rowOff>15240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O175"/>
  <sheetViews>
    <sheetView showGridLines="0" zoomScaleNormal="100" workbookViewId="0">
      <selection activeCell="C39" sqref="C39"/>
    </sheetView>
  </sheetViews>
  <sheetFormatPr defaultRowHeight="13.2" x14ac:dyDescent="0.25"/>
  <cols>
    <col min="1" max="1" width="8.109375" style="15" customWidth="1"/>
    <col min="2" max="2" width="4.33203125" style="15" customWidth="1"/>
    <col min="3" max="3" width="13" style="15" customWidth="1"/>
    <col min="4" max="4" width="9.6640625" style="15" customWidth="1"/>
    <col min="5" max="5" width="9.109375" style="15" customWidth="1"/>
    <col min="6" max="6" width="32.6640625" style="15" customWidth="1"/>
    <col min="7" max="7" width="17.33203125" style="62" customWidth="1"/>
    <col min="8" max="8" width="13.88671875" style="15" customWidth="1"/>
    <col min="9" max="9" width="9.109375" style="61" customWidth="1"/>
    <col min="10" max="10" width="4.6640625" style="15" customWidth="1"/>
    <col min="11" max="11" width="14.88671875" style="15" customWidth="1"/>
    <col min="12" max="12" width="9.109375" style="15" customWidth="1"/>
    <col min="13" max="14" width="8.88671875" style="15"/>
    <col min="15" max="15" width="8.88671875" style="1909"/>
    <col min="16" max="16384" width="8.88671875" style="15"/>
  </cols>
  <sheetData>
    <row r="1" spans="1:15" s="28" customFormat="1" x14ac:dyDescent="0.25">
      <c r="A1" s="518"/>
      <c r="B1" s="518" t="str">
        <f>TestYear &amp; " Test Year"</f>
        <v>2023 Test Year</v>
      </c>
      <c r="C1" s="475"/>
      <c r="D1" s="475"/>
      <c r="E1" s="475"/>
      <c r="F1" s="475"/>
      <c r="G1" s="1231"/>
      <c r="H1" s="475"/>
      <c r="I1" s="1232"/>
      <c r="J1" s="475"/>
      <c r="K1" s="78"/>
      <c r="L1" s="769" t="s">
        <v>697</v>
      </c>
      <c r="M1" s="78"/>
      <c r="N1" s="78"/>
      <c r="O1" s="1708"/>
    </row>
    <row r="2" spans="1:15" s="28" customFormat="1" ht="14.4" customHeight="1" x14ac:dyDescent="0.25">
      <c r="A2" s="518"/>
      <c r="B2" s="518"/>
      <c r="C2" s="2408" t="str">
        <f>Utility</f>
        <v>Cleveland Water Utility</v>
      </c>
      <c r="D2" s="2408"/>
      <c r="E2" s="2408"/>
      <c r="F2" s="2408"/>
      <c r="G2" s="2408"/>
      <c r="H2" s="2408"/>
      <c r="I2" s="2408"/>
      <c r="J2" s="2408"/>
      <c r="K2" s="2408"/>
      <c r="L2" s="769"/>
      <c r="M2" s="78"/>
      <c r="N2" s="78"/>
      <c r="O2" s="1708"/>
    </row>
    <row r="3" spans="1:15" s="28" customFormat="1" x14ac:dyDescent="0.25">
      <c r="A3" s="1189"/>
      <c r="B3" s="1189"/>
      <c r="C3" s="2408" t="s">
        <v>698</v>
      </c>
      <c r="D3" s="2569"/>
      <c r="E3" s="2569"/>
      <c r="F3" s="2569"/>
      <c r="G3" s="2569"/>
      <c r="H3" s="2569"/>
      <c r="I3" s="2569"/>
      <c r="J3" s="2569"/>
      <c r="K3" s="2583"/>
      <c r="L3" s="78"/>
      <c r="M3" s="78"/>
      <c r="N3" s="78"/>
      <c r="O3" s="1708"/>
    </row>
    <row r="4" spans="1:15" s="28" customFormat="1" x14ac:dyDescent="0.25">
      <c r="A4" s="1190"/>
      <c r="B4" s="1190"/>
      <c r="C4" s="2564" t="str">
        <f>CONCATENATE("Test Year ",TestYear)</f>
        <v>Test Year 2023</v>
      </c>
      <c r="D4" s="2565"/>
      <c r="E4" s="2565"/>
      <c r="F4" s="2565"/>
      <c r="G4" s="2565"/>
      <c r="H4" s="2565"/>
      <c r="I4" s="2565"/>
      <c r="J4" s="2565"/>
      <c r="K4" s="2583"/>
      <c r="L4" s="78"/>
      <c r="M4" s="78"/>
      <c r="N4" s="78"/>
      <c r="O4" s="1708"/>
    </row>
    <row r="5" spans="1:15" ht="12.75" customHeight="1" x14ac:dyDescent="0.25">
      <c r="A5" s="299"/>
      <c r="B5" s="299"/>
      <c r="C5" s="2834" t="s">
        <v>699</v>
      </c>
      <c r="D5" s="2835"/>
      <c r="E5" s="2835"/>
      <c r="F5" s="2835"/>
      <c r="G5" s="2835"/>
      <c r="H5" s="2835"/>
      <c r="I5" s="2835"/>
      <c r="J5" s="2835"/>
      <c r="K5" s="2835"/>
      <c r="L5" s="1191"/>
      <c r="M5" s="299"/>
      <c r="N5" s="299"/>
    </row>
    <row r="6" spans="1:15" ht="12.75" customHeight="1" thickBot="1" x14ac:dyDescent="0.3">
      <c r="A6" s="299"/>
      <c r="B6" s="299"/>
      <c r="C6" s="2836" t="s">
        <v>700</v>
      </c>
      <c r="D6" s="2837"/>
      <c r="E6" s="2837"/>
      <c r="F6" s="2837"/>
      <c r="G6" s="2837"/>
      <c r="H6" s="2837"/>
      <c r="I6" s="2837"/>
      <c r="J6" s="2837"/>
      <c r="K6" s="2837"/>
      <c r="L6" s="1191"/>
      <c r="M6" s="299"/>
      <c r="N6" s="299"/>
    </row>
    <row r="7" spans="1:15" ht="41.4" customHeight="1" thickTop="1" x14ac:dyDescent="0.25">
      <c r="A7" s="80"/>
      <c r="B7" s="1237"/>
      <c r="C7" s="2428" t="s">
        <v>1307</v>
      </c>
      <c r="D7" s="2428"/>
      <c r="E7" s="2428"/>
      <c r="F7" s="2428"/>
      <c r="G7" s="2428"/>
      <c r="H7" s="2428"/>
      <c r="I7" s="2428"/>
      <c r="J7" s="2428"/>
      <c r="K7" s="2428"/>
      <c r="L7" s="1238"/>
      <c r="M7" s="299"/>
      <c r="N7" s="299"/>
    </row>
    <row r="8" spans="1:15" ht="27" customHeight="1" x14ac:dyDescent="0.25">
      <c r="A8" s="80"/>
      <c r="B8" s="2131"/>
      <c r="C8" s="2358" t="s">
        <v>1308</v>
      </c>
      <c r="D8" s="2358"/>
      <c r="E8" s="2358"/>
      <c r="F8" s="2358"/>
      <c r="G8" s="2358"/>
      <c r="H8" s="2358"/>
      <c r="I8" s="2358"/>
      <c r="J8" s="2358"/>
      <c r="K8" s="2358"/>
      <c r="L8" s="1240"/>
      <c r="M8" s="299"/>
      <c r="N8" s="299"/>
    </row>
    <row r="9" spans="1:15" ht="14.7" customHeight="1" x14ac:dyDescent="0.25">
      <c r="A9" s="80"/>
      <c r="B9" s="2131"/>
      <c r="C9" s="751" t="s">
        <v>1309</v>
      </c>
      <c r="D9" s="348"/>
      <c r="E9" s="348"/>
      <c r="F9" s="348"/>
      <c r="G9" s="1213"/>
      <c r="H9" s="1233"/>
      <c r="I9" s="1234"/>
      <c r="J9" s="1233"/>
      <c r="K9" s="1051"/>
      <c r="L9" s="1240"/>
      <c r="M9" s="299"/>
      <c r="N9" s="299"/>
    </row>
    <row r="10" spans="1:15" ht="14.7" customHeight="1" x14ac:dyDescent="0.25">
      <c r="A10" s="80"/>
      <c r="B10" s="2131"/>
      <c r="C10" s="751"/>
      <c r="D10" s="751" t="s">
        <v>1310</v>
      </c>
      <c r="E10" s="348"/>
      <c r="F10" s="348"/>
      <c r="G10" s="1213"/>
      <c r="H10" s="1233"/>
      <c r="I10" s="1234"/>
      <c r="J10" s="1233"/>
      <c r="K10" s="1051"/>
      <c r="L10" s="1240"/>
      <c r="M10" s="299"/>
      <c r="N10" s="299"/>
    </row>
    <row r="11" spans="1:15" ht="14.7" customHeight="1" x14ac:dyDescent="0.25">
      <c r="A11" s="80"/>
      <c r="B11" s="2131"/>
      <c r="C11" s="751"/>
      <c r="D11" s="751" t="s">
        <v>1311</v>
      </c>
      <c r="E11" s="348"/>
      <c r="F11" s="348"/>
      <c r="G11" s="1213"/>
      <c r="H11" s="1233"/>
      <c r="I11" s="1234"/>
      <c r="J11" s="1233"/>
      <c r="K11" s="1051"/>
      <c r="L11" s="1240"/>
      <c r="M11" s="299"/>
      <c r="N11" s="299"/>
    </row>
    <row r="12" spans="1:15" ht="14.7" customHeight="1" x14ac:dyDescent="0.25">
      <c r="A12" s="80"/>
      <c r="B12" s="2131"/>
      <c r="C12" s="751"/>
      <c r="D12" s="751" t="s">
        <v>1312</v>
      </c>
      <c r="E12" s="348"/>
      <c r="F12" s="348"/>
      <c r="G12" s="1213"/>
      <c r="H12" s="1233"/>
      <c r="I12" s="1234"/>
      <c r="J12" s="1233"/>
      <c r="K12" s="1051"/>
      <c r="L12" s="1240"/>
      <c r="M12" s="299"/>
      <c r="N12" s="299"/>
    </row>
    <row r="13" spans="1:15" ht="14.7" customHeight="1" x14ac:dyDescent="0.25">
      <c r="A13" s="80"/>
      <c r="B13" s="2131"/>
      <c r="C13" s="751" t="s">
        <v>1313</v>
      </c>
      <c r="D13" s="751"/>
      <c r="E13" s="348"/>
      <c r="F13" s="348"/>
      <c r="G13" s="1213"/>
      <c r="H13" s="1233"/>
      <c r="I13" s="1234"/>
      <c r="J13" s="1233"/>
      <c r="K13" s="1051"/>
      <c r="L13" s="1240"/>
      <c r="M13" s="299"/>
      <c r="N13" s="299"/>
    </row>
    <row r="14" spans="1:15" ht="14.7" customHeight="1" x14ac:dyDescent="0.25">
      <c r="A14" s="80"/>
      <c r="B14" s="1650"/>
      <c r="C14" s="325"/>
      <c r="D14" s="348"/>
      <c r="E14" s="348"/>
      <c r="F14" s="348"/>
      <c r="G14" s="1213"/>
      <c r="H14" s="1233"/>
      <c r="I14" s="1234"/>
      <c r="J14" s="1233"/>
      <c r="K14" s="1051"/>
      <c r="L14" s="1240"/>
      <c r="M14" s="299"/>
      <c r="N14" s="299"/>
    </row>
    <row r="15" spans="1:15" ht="14.7" customHeight="1" x14ac:dyDescent="0.25">
      <c r="A15" s="80"/>
      <c r="B15" s="1650"/>
      <c r="C15" s="481" t="s">
        <v>1363</v>
      </c>
      <c r="D15" s="477"/>
      <c r="E15" s="477"/>
      <c r="F15" s="477"/>
      <c r="G15" s="1213"/>
      <c r="H15" s="1233"/>
      <c r="I15" s="1234"/>
      <c r="J15" s="1233"/>
      <c r="K15" s="1051"/>
      <c r="L15" s="1240"/>
      <c r="M15" s="299"/>
      <c r="N15" s="299"/>
    </row>
    <row r="16" spans="1:15" ht="14.7" customHeight="1" x14ac:dyDescent="0.25">
      <c r="A16" s="80"/>
      <c r="B16" s="1650"/>
      <c r="C16" s="481" t="s">
        <v>1202</v>
      </c>
      <c r="D16" s="477"/>
      <c r="E16" s="477"/>
      <c r="F16" s="477"/>
      <c r="G16" s="1213"/>
      <c r="H16" s="1233"/>
      <c r="I16" s="1234"/>
      <c r="J16" s="1233"/>
      <c r="K16" s="1051"/>
      <c r="L16" s="1240"/>
      <c r="M16" s="299"/>
      <c r="N16" s="299"/>
    </row>
    <row r="17" spans="1:14" ht="14.7" customHeight="1" x14ac:dyDescent="0.25">
      <c r="A17" s="80"/>
      <c r="B17" s="1650"/>
      <c r="C17" s="2542" t="s">
        <v>964</v>
      </c>
      <c r="D17" s="2553"/>
      <c r="E17" s="2553"/>
      <c r="F17" s="2554"/>
      <c r="G17" s="1213"/>
      <c r="H17" s="1233"/>
      <c r="I17" s="1234"/>
      <c r="J17" s="1233"/>
      <c r="K17" s="1051"/>
      <c r="L17" s="1240"/>
      <c r="M17" s="299"/>
      <c r="N17" s="299"/>
    </row>
    <row r="18" spans="1:14" ht="14.7" customHeight="1" x14ac:dyDescent="0.25">
      <c r="A18" s="80"/>
      <c r="B18" s="1650"/>
      <c r="C18" s="2555"/>
      <c r="D18" s="2556"/>
      <c r="E18" s="2556"/>
      <c r="F18" s="2557"/>
      <c r="G18" s="1213"/>
      <c r="H18" s="1233"/>
      <c r="I18" s="1234"/>
      <c r="J18" s="1233"/>
      <c r="K18" s="1051"/>
      <c r="L18" s="1240"/>
      <c r="M18" s="299"/>
      <c r="N18" s="299"/>
    </row>
    <row r="19" spans="1:14" ht="14.7" customHeight="1" x14ac:dyDescent="0.25">
      <c r="A19" s="80"/>
      <c r="B19" s="1650"/>
      <c r="C19" s="2558"/>
      <c r="D19" s="2559"/>
      <c r="E19" s="2559"/>
      <c r="F19" s="2560"/>
      <c r="G19" s="1213"/>
      <c r="H19" s="1233"/>
      <c r="I19" s="1234"/>
      <c r="J19" s="1233"/>
      <c r="K19" s="1051"/>
      <c r="L19" s="1240"/>
      <c r="M19" s="299"/>
      <c r="N19" s="299"/>
    </row>
    <row r="20" spans="1:14" ht="14.7" customHeight="1" x14ac:dyDescent="0.25">
      <c r="A20" s="80"/>
      <c r="B20" s="1650"/>
      <c r="C20" s="348"/>
      <c r="D20" s="348"/>
      <c r="E20" s="348"/>
      <c r="F20" s="348"/>
      <c r="G20" s="1213"/>
      <c r="H20" s="1233"/>
      <c r="I20" s="1234"/>
      <c r="J20" s="1233"/>
      <c r="K20" s="1051"/>
      <c r="L20" s="1240"/>
      <c r="M20" s="299"/>
      <c r="N20" s="299"/>
    </row>
    <row r="21" spans="1:14" ht="14.7" customHeight="1" x14ac:dyDescent="0.25">
      <c r="A21" s="80"/>
      <c r="B21" s="1185"/>
      <c r="C21" s="1239" t="s">
        <v>701</v>
      </c>
      <c r="D21" s="348"/>
      <c r="E21" s="348"/>
      <c r="F21" s="348"/>
      <c r="G21" s="1213"/>
      <c r="H21" s="1233"/>
      <c r="I21" s="1234"/>
      <c r="J21" s="1233"/>
      <c r="K21" s="1051"/>
      <c r="L21" s="1240"/>
      <c r="M21" s="299"/>
      <c r="N21" s="299"/>
    </row>
    <row r="22" spans="1:14" x14ac:dyDescent="0.25">
      <c r="A22" s="299"/>
      <c r="B22" s="374"/>
      <c r="C22" s="1241"/>
      <c r="D22" s="327"/>
      <c r="E22" s="327"/>
      <c r="F22" s="327"/>
      <c r="G22" s="1242" t="s">
        <v>702</v>
      </c>
      <c r="H22" s="363"/>
      <c r="I22" s="1243"/>
      <c r="J22" s="363"/>
      <c r="K22" s="325"/>
      <c r="L22" s="336"/>
      <c r="M22" s="299"/>
      <c r="N22" s="299"/>
    </row>
    <row r="23" spans="1:14" x14ac:dyDescent="0.25">
      <c r="A23" s="299"/>
      <c r="B23" s="374"/>
      <c r="C23" s="1187" t="s">
        <v>312</v>
      </c>
      <c r="D23" s="751"/>
      <c r="E23" s="751"/>
      <c r="F23" s="751"/>
      <c r="G23" s="1242" t="s">
        <v>703</v>
      </c>
      <c r="H23" s="751"/>
      <c r="I23" s="2838" t="s">
        <v>564</v>
      </c>
      <c r="J23" s="2839"/>
      <c r="K23" s="2839"/>
      <c r="L23" s="336"/>
      <c r="M23" s="299"/>
      <c r="N23" s="299"/>
    </row>
    <row r="24" spans="1:14" x14ac:dyDescent="0.25">
      <c r="A24" s="299"/>
      <c r="B24" s="374"/>
      <c r="C24" s="1244" t="s">
        <v>314</v>
      </c>
      <c r="D24" s="2840" t="s">
        <v>315</v>
      </c>
      <c r="E24" s="2840"/>
      <c r="F24" s="2840"/>
      <c r="G24" s="1245" t="s">
        <v>174</v>
      </c>
      <c r="H24" s="751"/>
      <c r="I24" s="1246" t="s">
        <v>224</v>
      </c>
      <c r="J24" s="751"/>
      <c r="K24" s="1247" t="s">
        <v>704</v>
      </c>
      <c r="L24" s="336"/>
      <c r="M24" s="299"/>
      <c r="N24" s="299"/>
    </row>
    <row r="25" spans="1:14" x14ac:dyDescent="0.25">
      <c r="A25" s="299"/>
      <c r="B25" s="374"/>
      <c r="C25" s="325"/>
      <c r="D25" s="2841" t="s">
        <v>881</v>
      </c>
      <c r="E25" s="2842"/>
      <c r="F25" s="2842"/>
      <c r="G25" s="1248"/>
      <c r="H25" s="325"/>
      <c r="I25" s="1249"/>
      <c r="J25" s="325"/>
      <c r="K25" s="1250"/>
      <c r="L25" s="336"/>
      <c r="M25" s="299"/>
      <c r="N25" s="299"/>
    </row>
    <row r="26" spans="1:14" x14ac:dyDescent="0.25">
      <c r="A26" s="299"/>
      <c r="B26" s="374"/>
      <c r="C26" s="1235"/>
      <c r="D26" s="2619" t="str">
        <f>IFERROR(VLOOKUP(C26,Attach11!$B$17:$C$88,2,FALSE),"")</f>
        <v/>
      </c>
      <c r="E26" s="2619"/>
      <c r="F26" s="2619"/>
      <c r="G26" s="69">
        <v>0</v>
      </c>
      <c r="H26" s="325"/>
      <c r="I26" s="1216">
        <v>0</v>
      </c>
      <c r="J26" s="325"/>
      <c r="K26" s="1217">
        <f>ROUND(G26*I26,0)</f>
        <v>0</v>
      </c>
      <c r="L26" s="336"/>
      <c r="M26" s="299"/>
      <c r="N26" s="299"/>
    </row>
    <row r="27" spans="1:14" x14ac:dyDescent="0.25">
      <c r="A27" s="299"/>
      <c r="B27" s="374"/>
      <c r="C27" s="1235"/>
      <c r="D27" s="2619" t="str">
        <f>IFERROR(VLOOKUP(C27,Attach11!$B$17:$C$88,2,FALSE),"")</f>
        <v/>
      </c>
      <c r="E27" s="2619"/>
      <c r="F27" s="2619"/>
      <c r="G27" s="69">
        <v>0</v>
      </c>
      <c r="H27" s="325"/>
      <c r="I27" s="1216">
        <v>0</v>
      </c>
      <c r="J27" s="325"/>
      <c r="K27" s="1218">
        <f>ROUND(G27*I27,0)</f>
        <v>0</v>
      </c>
      <c r="L27" s="336"/>
      <c r="M27" s="299"/>
      <c r="N27" s="299"/>
    </row>
    <row r="28" spans="1:14" x14ac:dyDescent="0.25">
      <c r="A28" s="299"/>
      <c r="B28" s="374"/>
      <c r="C28" s="1235"/>
      <c r="D28" s="2619" t="str">
        <f>IFERROR(VLOOKUP(C28,Attach11!$B$17:$C$88,2,FALSE),"")</f>
        <v/>
      </c>
      <c r="E28" s="2619"/>
      <c r="F28" s="2619"/>
      <c r="G28" s="69">
        <v>0</v>
      </c>
      <c r="H28" s="325"/>
      <c r="I28" s="1216">
        <v>0</v>
      </c>
      <c r="J28" s="325"/>
      <c r="K28" s="1218">
        <f>ROUND(G28*I28,0)</f>
        <v>0</v>
      </c>
      <c r="L28" s="336"/>
      <c r="M28" s="299"/>
      <c r="N28" s="299"/>
    </row>
    <row r="29" spans="1:14" x14ac:dyDescent="0.25">
      <c r="A29" s="299"/>
      <c r="B29" s="374"/>
      <c r="C29" s="1235"/>
      <c r="D29" s="2619" t="str">
        <f>IFERROR(VLOOKUP(C29,Attach11!$B$17:$C$88,2,FALSE),"")</f>
        <v/>
      </c>
      <c r="E29" s="2619"/>
      <c r="F29" s="2619"/>
      <c r="G29" s="69">
        <v>0</v>
      </c>
      <c r="H29" s="325"/>
      <c r="I29" s="1216">
        <v>0</v>
      </c>
      <c r="J29" s="325"/>
      <c r="K29" s="1218">
        <f>ROUND(G29*I29,0)</f>
        <v>0</v>
      </c>
      <c r="L29" s="336"/>
      <c r="M29" s="299"/>
      <c r="N29" s="299"/>
    </row>
    <row r="30" spans="1:14" x14ac:dyDescent="0.25">
      <c r="A30" s="299"/>
      <c r="B30" s="374"/>
      <c r="C30" s="1235"/>
      <c r="D30" s="2619" t="str">
        <f>IFERROR(VLOOKUP(C30,Attach11!$B$17:$C$88,2,FALSE),"")</f>
        <v/>
      </c>
      <c r="E30" s="2619"/>
      <c r="F30" s="2619"/>
      <c r="G30" s="69">
        <v>0</v>
      </c>
      <c r="H30" s="325"/>
      <c r="I30" s="1216">
        <v>0</v>
      </c>
      <c r="J30" s="325"/>
      <c r="K30" s="1218">
        <f>ROUND(G30*I30,0)</f>
        <v>0</v>
      </c>
      <c r="L30" s="336"/>
      <c r="M30" s="299"/>
      <c r="N30" s="299"/>
    </row>
    <row r="31" spans="1:14" ht="13.8" thickBot="1" x14ac:dyDescent="0.3">
      <c r="A31" s="299"/>
      <c r="B31" s="374"/>
      <c r="C31" s="363"/>
      <c r="D31" s="2851" t="s">
        <v>705</v>
      </c>
      <c r="E31" s="2851"/>
      <c r="F31" s="2851"/>
      <c r="G31" s="1197">
        <f>SUM(G26:G30)</f>
        <v>0</v>
      </c>
      <c r="H31" s="325"/>
      <c r="I31" s="1251"/>
      <c r="J31" s="324" t="s">
        <v>706</v>
      </c>
      <c r="K31" s="1215">
        <f>SUM(K26:K30)</f>
        <v>0</v>
      </c>
      <c r="L31" s="336"/>
      <c r="M31" s="299"/>
      <c r="N31" s="299"/>
    </row>
    <row r="32" spans="1:14" ht="13.8" thickTop="1" x14ac:dyDescent="0.25">
      <c r="A32" s="299"/>
      <c r="B32" s="374"/>
      <c r="C32" s="348"/>
      <c r="D32" s="2841" t="s">
        <v>707</v>
      </c>
      <c r="E32" s="2842"/>
      <c r="F32" s="2842"/>
      <c r="G32" s="2842"/>
      <c r="H32" s="325"/>
      <c r="I32" s="1251"/>
      <c r="J32" s="325"/>
      <c r="K32" s="325"/>
      <c r="L32" s="336"/>
      <c r="M32" s="299"/>
      <c r="N32" s="299"/>
    </row>
    <row r="33" spans="1:14" x14ac:dyDescent="0.25">
      <c r="A33" s="299"/>
      <c r="B33" s="374"/>
      <c r="C33" s="1236"/>
      <c r="D33" s="2619" t="str">
        <f>IFERROR(VLOOKUP(C33,Attach11!$B$17:$C$88,2,FALSE),"")</f>
        <v/>
      </c>
      <c r="E33" s="2619"/>
      <c r="F33" s="2619"/>
      <c r="G33" s="1333">
        <v>0</v>
      </c>
      <c r="H33" s="325"/>
      <c r="I33" s="1251"/>
      <c r="J33" s="325"/>
      <c r="K33" s="1252"/>
      <c r="L33" s="336"/>
      <c r="M33" s="299"/>
      <c r="N33" s="299"/>
    </row>
    <row r="34" spans="1:14" x14ac:dyDescent="0.25">
      <c r="A34" s="299"/>
      <c r="B34" s="374"/>
      <c r="C34" s="1236"/>
      <c r="D34" s="2619" t="str">
        <f>IFERROR(VLOOKUP(C34,Attach11!$B$17:$C$88,2,FALSE),"")</f>
        <v/>
      </c>
      <c r="E34" s="2619"/>
      <c r="F34" s="2619"/>
      <c r="G34" s="69">
        <v>0</v>
      </c>
      <c r="H34" s="325"/>
      <c r="I34" s="1251"/>
      <c r="J34" s="325"/>
      <c r="K34" s="1252"/>
      <c r="L34" s="336"/>
      <c r="M34" s="299"/>
      <c r="N34" s="299"/>
    </row>
    <row r="35" spans="1:14" x14ac:dyDescent="0.25">
      <c r="A35" s="299"/>
      <c r="B35" s="374"/>
      <c r="C35" s="1236"/>
      <c r="D35" s="2619" t="str">
        <f>IFERROR(VLOOKUP(C35,Attach11!$B$17:$C$88,2,FALSE),"")</f>
        <v/>
      </c>
      <c r="E35" s="2619"/>
      <c r="F35" s="2619"/>
      <c r="G35" s="69">
        <v>0</v>
      </c>
      <c r="H35" s="348"/>
      <c r="I35" s="1214"/>
      <c r="J35" s="348"/>
      <c r="K35" s="1253"/>
      <c r="L35" s="336"/>
      <c r="M35" s="299"/>
      <c r="N35" s="299"/>
    </row>
    <row r="36" spans="1:14" x14ac:dyDescent="0.25">
      <c r="A36" s="299"/>
      <c r="B36" s="374"/>
      <c r="C36" s="1236"/>
      <c r="D36" s="2619" t="str">
        <f>IFERROR(VLOOKUP(C36,Attach11!$B$17:$C$88,2,FALSE),"")</f>
        <v/>
      </c>
      <c r="E36" s="2619"/>
      <c r="F36" s="2619"/>
      <c r="G36" s="69">
        <v>0</v>
      </c>
      <c r="H36" s="348"/>
      <c r="I36" s="1214"/>
      <c r="J36" s="348"/>
      <c r="K36" s="1253"/>
      <c r="L36" s="336"/>
      <c r="M36" s="299"/>
      <c r="N36" s="299"/>
    </row>
    <row r="37" spans="1:14" x14ac:dyDescent="0.25">
      <c r="A37" s="299"/>
      <c r="B37" s="374"/>
      <c r="C37" s="1236"/>
      <c r="D37" s="2619" t="str">
        <f>IFERROR(VLOOKUP(C37,Attach11!$B$17:$C$88,2,FALSE),"")</f>
        <v/>
      </c>
      <c r="E37" s="2619"/>
      <c r="F37" s="2619"/>
      <c r="G37" s="69">
        <v>0</v>
      </c>
      <c r="H37" s="348"/>
      <c r="I37" s="1214"/>
      <c r="J37" s="1254"/>
      <c r="K37" s="1253"/>
      <c r="L37" s="336"/>
      <c r="M37" s="299"/>
      <c r="N37" s="299"/>
    </row>
    <row r="38" spans="1:14" x14ac:dyDescent="0.25">
      <c r="A38" s="299"/>
      <c r="B38" s="374"/>
      <c r="C38" s="348"/>
      <c r="D38" s="2851" t="s">
        <v>708</v>
      </c>
      <c r="E38" s="2851"/>
      <c r="F38" s="2851"/>
      <c r="G38" s="1198">
        <f>SUM(G33:G37)</f>
        <v>0</v>
      </c>
      <c r="H38" s="348"/>
      <c r="I38" s="1214"/>
      <c r="J38" s="348"/>
      <c r="K38" s="1051"/>
      <c r="L38" s="336"/>
      <c r="M38" s="299"/>
      <c r="N38" s="299"/>
    </row>
    <row r="39" spans="1:14" x14ac:dyDescent="0.25">
      <c r="A39" s="299"/>
      <c r="B39" s="374"/>
      <c r="C39" s="751"/>
      <c r="D39" s="1255"/>
      <c r="E39" s="1255"/>
      <c r="F39" s="1256" t="s">
        <v>885</v>
      </c>
      <c r="G39" s="1219">
        <f>G31+G38</f>
        <v>0</v>
      </c>
      <c r="H39" s="348"/>
      <c r="I39" s="1214"/>
      <c r="J39" s="348"/>
      <c r="K39" s="348"/>
      <c r="L39" s="336"/>
      <c r="M39" s="299"/>
      <c r="N39" s="299"/>
    </row>
    <row r="40" spans="1:14" x14ac:dyDescent="0.25">
      <c r="A40" s="299"/>
      <c r="B40" s="374"/>
      <c r="C40" s="325"/>
      <c r="D40" s="751"/>
      <c r="E40" s="751"/>
      <c r="F40" s="324" t="s">
        <v>883</v>
      </c>
      <c r="G40" s="1222">
        <v>0</v>
      </c>
      <c r="H40" s="348"/>
      <c r="I40" s="1214"/>
      <c r="J40" s="348"/>
      <c r="K40" s="348"/>
      <c r="L40" s="336"/>
      <c r="M40" s="299"/>
      <c r="N40" s="299"/>
    </row>
    <row r="41" spans="1:14" x14ac:dyDescent="0.25">
      <c r="A41" s="299"/>
      <c r="B41" s="374"/>
      <c r="C41" s="325"/>
      <c r="D41" s="325"/>
      <c r="E41" s="325"/>
      <c r="F41" s="1256" t="s">
        <v>884</v>
      </c>
      <c r="G41" s="1219">
        <f>G39-G40</f>
        <v>0</v>
      </c>
      <c r="H41" s="348"/>
      <c r="I41" s="1214"/>
      <c r="J41" s="348"/>
      <c r="K41" s="348"/>
      <c r="L41" s="336"/>
      <c r="M41" s="299"/>
      <c r="N41" s="299"/>
    </row>
    <row r="42" spans="1:14" x14ac:dyDescent="0.25">
      <c r="A42" s="299"/>
      <c r="B42" s="374"/>
      <c r="C42" s="1250"/>
      <c r="D42" s="325"/>
      <c r="E42" s="325"/>
      <c r="F42" s="325"/>
      <c r="G42" s="1225"/>
      <c r="H42" s="348"/>
      <c r="I42" s="1214"/>
      <c r="J42" s="348"/>
      <c r="K42" s="348"/>
      <c r="L42" s="336"/>
      <c r="M42" s="299"/>
      <c r="N42" s="299"/>
    </row>
    <row r="43" spans="1:14" x14ac:dyDescent="0.25">
      <c r="A43" s="299"/>
      <c r="B43" s="374"/>
      <c r="C43" s="325" t="s">
        <v>886</v>
      </c>
      <c r="D43" s="325"/>
      <c r="E43" s="325"/>
      <c r="F43" s="325"/>
      <c r="G43" s="1220">
        <f>Attach9!I38</f>
        <v>0.9</v>
      </c>
      <c r="H43" s="348"/>
      <c r="I43" s="1214"/>
      <c r="J43" s="348"/>
      <c r="K43" s="348"/>
      <c r="L43" s="336"/>
      <c r="M43" s="299"/>
      <c r="N43" s="299"/>
    </row>
    <row r="44" spans="1:14" x14ac:dyDescent="0.25">
      <c r="A44" s="299"/>
      <c r="B44" s="374"/>
      <c r="C44" s="325" t="s">
        <v>887</v>
      </c>
      <c r="D44" s="325"/>
      <c r="E44" s="325"/>
      <c r="F44" s="325"/>
      <c r="G44" s="1221">
        <f>Attach9!I41</f>
        <v>13.992405040497953</v>
      </c>
      <c r="H44" s="348"/>
      <c r="I44" s="1214"/>
      <c r="J44" s="348"/>
      <c r="K44" s="348"/>
      <c r="L44" s="336"/>
      <c r="M44" s="299"/>
      <c r="N44" s="299"/>
    </row>
    <row r="45" spans="1:14" x14ac:dyDescent="0.25">
      <c r="A45" s="299"/>
      <c r="B45" s="374"/>
      <c r="C45" s="325"/>
      <c r="D45" s="325"/>
      <c r="E45" s="325"/>
      <c r="F45" s="325"/>
      <c r="G45" s="325"/>
      <c r="H45" s="348"/>
      <c r="I45" s="1214"/>
      <c r="J45" s="348"/>
      <c r="K45" s="348"/>
      <c r="L45" s="336"/>
      <c r="M45" s="299"/>
      <c r="N45" s="299"/>
    </row>
    <row r="46" spans="1:14" x14ac:dyDescent="0.25">
      <c r="A46" s="299"/>
      <c r="B46" s="374"/>
      <c r="C46" s="477" t="s">
        <v>709</v>
      </c>
      <c r="D46" s="939"/>
      <c r="E46" s="535"/>
      <c r="F46" s="1154"/>
      <c r="G46" s="1257"/>
      <c r="H46" s="1223">
        <f>ROUND((G41*G43*G44)/1000,0)</f>
        <v>0</v>
      </c>
      <c r="I46" s="1199"/>
      <c r="J46" s="348"/>
      <c r="K46" s="348"/>
      <c r="L46" s="336"/>
      <c r="M46" s="299"/>
      <c r="N46" s="299"/>
    </row>
    <row r="47" spans="1:14" x14ac:dyDescent="0.25">
      <c r="A47" s="299"/>
      <c r="B47" s="374"/>
      <c r="C47" s="477" t="s">
        <v>710</v>
      </c>
      <c r="D47" s="939"/>
      <c r="E47" s="535"/>
      <c r="F47" s="1154"/>
      <c r="G47" s="1257"/>
      <c r="H47" s="1224">
        <f>Attach9!I43</f>
        <v>35116.077089379301</v>
      </c>
      <c r="I47" s="1214"/>
      <c r="J47" s="348"/>
      <c r="K47" s="348"/>
      <c r="L47" s="336"/>
      <c r="M47" s="299"/>
      <c r="N47" s="299"/>
    </row>
    <row r="48" spans="1:14" x14ac:dyDescent="0.25">
      <c r="A48" s="299"/>
      <c r="B48" s="374"/>
      <c r="C48" s="477"/>
      <c r="D48" s="939"/>
      <c r="E48" s="535"/>
      <c r="F48" s="1154"/>
      <c r="G48" s="1257"/>
      <c r="H48" s="1225"/>
      <c r="I48" s="1214"/>
      <c r="J48" s="348"/>
      <c r="K48" s="348"/>
      <c r="L48" s="336"/>
      <c r="M48" s="299"/>
      <c r="N48" s="299"/>
    </row>
    <row r="49" spans="1:15" x14ac:dyDescent="0.25">
      <c r="A49" s="299"/>
      <c r="B49" s="374"/>
      <c r="C49" s="477" t="s">
        <v>711</v>
      </c>
      <c r="D49" s="939"/>
      <c r="E49" s="535"/>
      <c r="F49" s="1154"/>
      <c r="G49" s="1257"/>
      <c r="H49" s="1226">
        <f>ROUND(SUM(H46:H47),0)</f>
        <v>35116</v>
      </c>
      <c r="I49" s="1214"/>
      <c r="J49" s="348"/>
      <c r="K49" s="348"/>
      <c r="L49" s="336"/>
      <c r="M49" s="299"/>
      <c r="N49" s="299"/>
    </row>
    <row r="50" spans="1:15" x14ac:dyDescent="0.25">
      <c r="A50" s="299"/>
      <c r="B50" s="374"/>
      <c r="C50" s="477"/>
      <c r="D50" s="939"/>
      <c r="E50" s="535"/>
      <c r="F50" s="1154"/>
      <c r="G50" s="1257"/>
      <c r="H50" s="1227"/>
      <c r="I50" s="1214"/>
      <c r="J50" s="348"/>
      <c r="K50" s="348"/>
      <c r="L50" s="336"/>
      <c r="M50" s="299"/>
      <c r="N50" s="299"/>
    </row>
    <row r="51" spans="1:15" x14ac:dyDescent="0.25">
      <c r="A51" s="299"/>
      <c r="B51" s="374"/>
      <c r="C51" s="367" t="s">
        <v>712</v>
      </c>
      <c r="D51" s="367"/>
      <c r="E51" s="367"/>
      <c r="F51" s="367"/>
      <c r="G51" s="367"/>
      <c r="H51" s="352">
        <f>Attach9!I44</f>
        <v>17203</v>
      </c>
      <c r="I51" s="1214"/>
      <c r="J51" s="348"/>
      <c r="K51" s="348"/>
      <c r="L51" s="336"/>
      <c r="M51" s="299"/>
      <c r="N51" s="299"/>
    </row>
    <row r="52" spans="1:15" x14ac:dyDescent="0.25">
      <c r="A52" s="299"/>
      <c r="B52" s="374"/>
      <c r="C52" s="367"/>
      <c r="D52" s="367"/>
      <c r="E52" s="367"/>
      <c r="F52" s="367"/>
      <c r="G52" s="367"/>
      <c r="H52" s="2846" t="str">
        <f>IF(Attach9!I45="","",Attach9!I45)</f>
        <v/>
      </c>
      <c r="I52" s="1214"/>
      <c r="J52" s="348"/>
      <c r="K52" s="348"/>
      <c r="L52" s="336"/>
      <c r="M52" s="299"/>
      <c r="N52" s="299"/>
    </row>
    <row r="53" spans="1:15" x14ac:dyDescent="0.25">
      <c r="A53" s="299"/>
      <c r="B53" s="374"/>
      <c r="C53" s="2783" t="s">
        <v>882</v>
      </c>
      <c r="D53" s="2848"/>
      <c r="E53" s="2848"/>
      <c r="F53" s="2848"/>
      <c r="G53" s="2848"/>
      <c r="H53" s="2315"/>
      <c r="I53" s="1214"/>
      <c r="J53" s="348"/>
      <c r="K53" s="348"/>
      <c r="L53" s="336"/>
      <c r="M53" s="299"/>
      <c r="N53" s="299"/>
    </row>
    <row r="54" spans="1:15" x14ac:dyDescent="0.25">
      <c r="A54" s="299"/>
      <c r="B54" s="374"/>
      <c r="C54" s="2848"/>
      <c r="D54" s="2848"/>
      <c r="E54" s="2848"/>
      <c r="F54" s="2848"/>
      <c r="G54" s="2848"/>
      <c r="H54" s="2847"/>
      <c r="I54" s="1214"/>
      <c r="J54" s="348"/>
      <c r="K54" s="1200"/>
      <c r="L54" s="336"/>
      <c r="M54" s="299"/>
      <c r="N54" s="299"/>
    </row>
    <row r="55" spans="1:15" x14ac:dyDescent="0.25">
      <c r="A55" s="299"/>
      <c r="B55" s="374"/>
      <c r="C55" s="325"/>
      <c r="D55" s="1258"/>
      <c r="E55" s="1258"/>
      <c r="F55" s="1258"/>
      <c r="G55" s="1258"/>
      <c r="H55" s="1201"/>
      <c r="I55" s="1214"/>
      <c r="J55" s="348"/>
      <c r="K55" s="1200"/>
      <c r="L55" s="336"/>
      <c r="M55" s="299"/>
      <c r="N55" s="299"/>
    </row>
    <row r="56" spans="1:15" x14ac:dyDescent="0.25">
      <c r="A56" s="299"/>
      <c r="B56" s="374"/>
      <c r="C56" s="481" t="s">
        <v>713</v>
      </c>
      <c r="D56" s="1259"/>
      <c r="E56" s="1259"/>
      <c r="F56" s="1259"/>
      <c r="G56" s="1259"/>
      <c r="H56" s="1201"/>
      <c r="I56" s="1214"/>
      <c r="J56" s="348"/>
      <c r="K56" s="1200"/>
      <c r="L56" s="336"/>
      <c r="M56" s="299"/>
      <c r="N56" s="299"/>
    </row>
    <row r="57" spans="1:15" x14ac:dyDescent="0.25">
      <c r="A57" s="299"/>
      <c r="B57" s="374"/>
      <c r="C57" s="1260" t="s">
        <v>714</v>
      </c>
      <c r="D57" s="1259"/>
      <c r="E57" s="1259"/>
      <c r="F57" s="1259"/>
      <c r="G57" s="1259"/>
      <c r="H57" s="1150">
        <f>IF(H52="",(IF(H49&gt;H51,H49,H51)),H52)</f>
        <v>35116</v>
      </c>
      <c r="I57" s="1202"/>
      <c r="J57" s="348"/>
      <c r="K57" s="348"/>
      <c r="L57" s="336"/>
      <c r="M57" s="299"/>
      <c r="N57" s="299"/>
    </row>
    <row r="58" spans="1:15" x14ac:dyDescent="0.25">
      <c r="A58" s="299"/>
      <c r="B58" s="374"/>
      <c r="C58" s="477" t="s">
        <v>715</v>
      </c>
      <c r="D58" s="751"/>
      <c r="E58" s="751"/>
      <c r="F58" s="325"/>
      <c r="G58" s="1257"/>
      <c r="H58" s="1228">
        <f>ROUND(IF(H57&gt;=Attach9!I46,Attach8!I28,H57/Attach9!I46*Attach8!I28),0)</f>
        <v>1242</v>
      </c>
      <c r="I58" s="1203"/>
      <c r="J58" s="348"/>
      <c r="K58" s="348"/>
      <c r="L58" s="336"/>
      <c r="M58" s="299"/>
      <c r="N58" s="299"/>
    </row>
    <row r="59" spans="1:15" x14ac:dyDescent="0.25">
      <c r="A59" s="299"/>
      <c r="B59" s="374"/>
      <c r="C59" s="325"/>
      <c r="D59" s="325"/>
      <c r="E59" s="325"/>
      <c r="F59" s="325"/>
      <c r="G59" s="1257"/>
      <c r="H59" s="325"/>
      <c r="I59" s="1214"/>
      <c r="J59" s="348"/>
      <c r="K59" s="348"/>
      <c r="L59" s="336"/>
      <c r="M59" s="299"/>
      <c r="N59" s="299"/>
    </row>
    <row r="60" spans="1:15" ht="13.8" thickBot="1" x14ac:dyDescent="0.3">
      <c r="A60" s="299"/>
      <c r="B60" s="374"/>
      <c r="C60" s="477" t="s">
        <v>716</v>
      </c>
      <c r="D60" s="325"/>
      <c r="E60" s="325"/>
      <c r="F60" s="325"/>
      <c r="G60" s="1257"/>
      <c r="H60" s="351">
        <f>ROUND(IF(H57-H58&lt;0,0,H57-H58),0)</f>
        <v>33874</v>
      </c>
      <c r="I60" s="1214"/>
      <c r="J60" s="348"/>
      <c r="K60" s="348"/>
      <c r="L60" s="336"/>
      <c r="M60" s="299"/>
      <c r="N60" s="299"/>
    </row>
    <row r="61" spans="1:15" ht="13.8" thickTop="1" x14ac:dyDescent="0.25">
      <c r="A61" s="299"/>
      <c r="B61" s="374"/>
      <c r="C61" s="531"/>
      <c r="D61" s="348"/>
      <c r="E61" s="348"/>
      <c r="F61" s="348"/>
      <c r="G61" s="1213"/>
      <c r="H61" s="348"/>
      <c r="I61" s="1214"/>
      <c r="J61" s="348"/>
      <c r="K61" s="348"/>
      <c r="L61" s="336"/>
      <c r="M61" s="299"/>
      <c r="N61" s="299"/>
    </row>
    <row r="62" spans="1:15" ht="13.8" thickBot="1" x14ac:dyDescent="0.3">
      <c r="A62" s="299"/>
      <c r="B62" s="374"/>
      <c r="C62" s="531"/>
      <c r="D62" s="348"/>
      <c r="E62" s="348"/>
      <c r="F62" s="348"/>
      <c r="G62" s="1213"/>
      <c r="H62" s="348"/>
      <c r="I62" s="1214"/>
      <c r="J62" s="348"/>
      <c r="K62" s="348"/>
      <c r="L62" s="336"/>
      <c r="M62" s="299"/>
      <c r="N62" s="299"/>
    </row>
    <row r="63" spans="1:15" s="18" customFormat="1" x14ac:dyDescent="0.25">
      <c r="A63" s="80"/>
      <c r="B63" s="1185"/>
      <c r="C63" s="1204"/>
      <c r="D63" s="1205"/>
      <c r="E63" s="1206"/>
      <c r="F63" s="1207"/>
      <c r="G63" s="1229"/>
      <c r="H63" s="1326" t="s">
        <v>717</v>
      </c>
      <c r="I63" s="1208"/>
      <c r="J63" s="1186"/>
      <c r="K63" s="1186"/>
      <c r="L63" s="1261"/>
      <c r="M63" s="80"/>
      <c r="N63" s="80"/>
      <c r="O63" s="1720"/>
    </row>
    <row r="64" spans="1:15" ht="15.6" customHeight="1" x14ac:dyDescent="0.25">
      <c r="A64" s="299"/>
      <c r="B64" s="374"/>
      <c r="C64" s="2849" t="s">
        <v>718</v>
      </c>
      <c r="D64" s="2848"/>
      <c r="E64" s="2848"/>
      <c r="F64" s="2850"/>
      <c r="G64" s="324" t="s">
        <v>670</v>
      </c>
      <c r="H64" s="1230">
        <v>0</v>
      </c>
      <c r="I64" s="1209"/>
      <c r="J64" s="348"/>
      <c r="K64" s="348"/>
      <c r="L64" s="336"/>
      <c r="M64" s="299"/>
      <c r="N64" s="299"/>
    </row>
    <row r="65" spans="1:14" x14ac:dyDescent="0.25">
      <c r="A65" s="299"/>
      <c r="B65" s="374"/>
      <c r="C65" s="2849"/>
      <c r="D65" s="2848"/>
      <c r="E65" s="2848"/>
      <c r="F65" s="2850"/>
      <c r="G65" s="324" t="s">
        <v>255</v>
      </c>
      <c r="H65" s="1230">
        <v>0</v>
      </c>
      <c r="I65" s="1209"/>
      <c r="J65" s="348"/>
      <c r="K65" s="348"/>
      <c r="L65" s="336"/>
      <c r="M65" s="299"/>
      <c r="N65" s="299"/>
    </row>
    <row r="66" spans="1:14" ht="13.8" thickBot="1" x14ac:dyDescent="0.3">
      <c r="A66" s="299"/>
      <c r="B66" s="374"/>
      <c r="C66" s="1210"/>
      <c r="D66" s="1195"/>
      <c r="E66" s="1195"/>
      <c r="F66" s="1211"/>
      <c r="G66" s="1196"/>
      <c r="H66" s="1195"/>
      <c r="I66" s="1212"/>
      <c r="J66" s="348"/>
      <c r="K66" s="348"/>
      <c r="L66" s="336"/>
      <c r="M66" s="299"/>
      <c r="N66" s="299"/>
    </row>
    <row r="67" spans="1:14" x14ac:dyDescent="0.25">
      <c r="A67" s="299"/>
      <c r="B67" s="2843" t="s">
        <v>1232</v>
      </c>
      <c r="C67" s="2844"/>
      <c r="D67" s="2844"/>
      <c r="E67" s="2844"/>
      <c r="F67" s="2844"/>
      <c r="G67" s="2844"/>
      <c r="H67" s="2844"/>
      <c r="I67" s="2844"/>
      <c r="J67" s="2844"/>
      <c r="K67" s="2844"/>
      <c r="L67" s="2845"/>
      <c r="M67" s="299"/>
      <c r="N67" s="299"/>
    </row>
    <row r="68" spans="1:14" x14ac:dyDescent="0.25">
      <c r="A68" s="299"/>
      <c r="B68" s="2843"/>
      <c r="C68" s="2844"/>
      <c r="D68" s="2844"/>
      <c r="E68" s="2844"/>
      <c r="F68" s="2844"/>
      <c r="G68" s="2844"/>
      <c r="H68" s="2844"/>
      <c r="I68" s="2844"/>
      <c r="J68" s="2844"/>
      <c r="K68" s="2844"/>
      <c r="L68" s="2845"/>
      <c r="M68" s="299"/>
      <c r="N68" s="299"/>
    </row>
    <row r="69" spans="1:14" x14ac:dyDescent="0.25">
      <c r="A69" s="299"/>
      <c r="B69" s="374"/>
      <c r="C69" s="2305"/>
      <c r="D69" s="2293"/>
      <c r="E69" s="2293"/>
      <c r="F69" s="2293"/>
      <c r="G69" s="2293"/>
      <c r="H69" s="2293"/>
      <c r="I69" s="2293"/>
      <c r="J69" s="2293"/>
      <c r="K69" s="2294"/>
      <c r="L69" s="336"/>
      <c r="M69" s="299"/>
      <c r="N69" s="299"/>
    </row>
    <row r="70" spans="1:14" x14ac:dyDescent="0.25">
      <c r="A70" s="299"/>
      <c r="B70" s="374"/>
      <c r="C70" s="2295"/>
      <c r="D70" s="2296"/>
      <c r="E70" s="2296"/>
      <c r="F70" s="2296"/>
      <c r="G70" s="2296"/>
      <c r="H70" s="2296"/>
      <c r="I70" s="2296"/>
      <c r="J70" s="2296"/>
      <c r="K70" s="2297"/>
      <c r="L70" s="336"/>
      <c r="M70" s="299"/>
      <c r="N70" s="299"/>
    </row>
    <row r="71" spans="1:14" x14ac:dyDescent="0.25">
      <c r="A71" s="299"/>
      <c r="B71" s="374"/>
      <c r="C71" s="2295"/>
      <c r="D71" s="2296"/>
      <c r="E71" s="2296"/>
      <c r="F71" s="2296"/>
      <c r="G71" s="2296"/>
      <c r="H71" s="2296"/>
      <c r="I71" s="2296"/>
      <c r="J71" s="2296"/>
      <c r="K71" s="2297"/>
      <c r="L71" s="336"/>
      <c r="M71" s="299"/>
      <c r="N71" s="299"/>
    </row>
    <row r="72" spans="1:14" x14ac:dyDescent="0.25">
      <c r="A72" s="299"/>
      <c r="B72" s="374"/>
      <c r="C72" s="2295"/>
      <c r="D72" s="2296"/>
      <c r="E72" s="2296"/>
      <c r="F72" s="2296"/>
      <c r="G72" s="2296"/>
      <c r="H72" s="2296"/>
      <c r="I72" s="2296"/>
      <c r="J72" s="2296"/>
      <c r="K72" s="2297"/>
      <c r="L72" s="336"/>
      <c r="M72" s="299"/>
      <c r="N72" s="299"/>
    </row>
    <row r="73" spans="1:14" x14ac:dyDescent="0.25">
      <c r="A73" s="299"/>
      <c r="B73" s="374"/>
      <c r="C73" s="2295"/>
      <c r="D73" s="2296"/>
      <c r="E73" s="2296"/>
      <c r="F73" s="2296"/>
      <c r="G73" s="2296"/>
      <c r="H73" s="2296"/>
      <c r="I73" s="2296"/>
      <c r="J73" s="2296"/>
      <c r="K73" s="2297"/>
      <c r="L73" s="336"/>
      <c r="M73" s="299"/>
      <c r="N73" s="299"/>
    </row>
    <row r="74" spans="1:14" x14ac:dyDescent="0.25">
      <c r="A74" s="299"/>
      <c r="B74" s="374"/>
      <c r="C74" s="2295"/>
      <c r="D74" s="2296"/>
      <c r="E74" s="2296"/>
      <c r="F74" s="2296"/>
      <c r="G74" s="2296"/>
      <c r="H74" s="2296"/>
      <c r="I74" s="2296"/>
      <c r="J74" s="2296"/>
      <c r="K74" s="2297"/>
      <c r="L74" s="336"/>
      <c r="M74" s="299"/>
      <c r="N74" s="299"/>
    </row>
    <row r="75" spans="1:14" x14ac:dyDescent="0.25">
      <c r="A75" s="299"/>
      <c r="B75" s="374"/>
      <c r="C75" s="2295"/>
      <c r="D75" s="2296"/>
      <c r="E75" s="2296"/>
      <c r="F75" s="2296"/>
      <c r="G75" s="2296"/>
      <c r="H75" s="2296"/>
      <c r="I75" s="2296"/>
      <c r="J75" s="2296"/>
      <c r="K75" s="2297"/>
      <c r="L75" s="336"/>
      <c r="M75" s="299"/>
      <c r="N75" s="299"/>
    </row>
    <row r="76" spans="1:14" x14ac:dyDescent="0.25">
      <c r="A76" s="299"/>
      <c r="B76" s="374"/>
      <c r="C76" s="2295"/>
      <c r="D76" s="2296"/>
      <c r="E76" s="2296"/>
      <c r="F76" s="2296"/>
      <c r="G76" s="2296"/>
      <c r="H76" s="2296"/>
      <c r="I76" s="2296"/>
      <c r="J76" s="2296"/>
      <c r="K76" s="2297"/>
      <c r="L76" s="336"/>
      <c r="M76" s="299"/>
      <c r="N76" s="299"/>
    </row>
    <row r="77" spans="1:14" x14ac:dyDescent="0.25">
      <c r="A77" s="299"/>
      <c r="B77" s="374"/>
      <c r="C77" s="2295"/>
      <c r="D77" s="2296"/>
      <c r="E77" s="2296"/>
      <c r="F77" s="2296"/>
      <c r="G77" s="2296"/>
      <c r="H77" s="2296"/>
      <c r="I77" s="2296"/>
      <c r="J77" s="2296"/>
      <c r="K77" s="2297"/>
      <c r="L77" s="336"/>
      <c r="M77" s="299"/>
      <c r="N77" s="299"/>
    </row>
    <row r="78" spans="1:14" x14ac:dyDescent="0.25">
      <c r="A78" s="299"/>
      <c r="B78" s="374"/>
      <c r="C78" s="2295"/>
      <c r="D78" s="2296"/>
      <c r="E78" s="2296"/>
      <c r="F78" s="2296"/>
      <c r="G78" s="2296"/>
      <c r="H78" s="2296"/>
      <c r="I78" s="2296"/>
      <c r="J78" s="2296"/>
      <c r="K78" s="2297"/>
      <c r="L78" s="336"/>
      <c r="M78" s="299"/>
      <c r="N78" s="299"/>
    </row>
    <row r="79" spans="1:14" x14ac:dyDescent="0.25">
      <c r="A79" s="299"/>
      <c r="B79" s="374"/>
      <c r="C79" s="2295"/>
      <c r="D79" s="2296"/>
      <c r="E79" s="2296"/>
      <c r="F79" s="2296"/>
      <c r="G79" s="2296"/>
      <c r="H79" s="2296"/>
      <c r="I79" s="2296"/>
      <c r="J79" s="2296"/>
      <c r="K79" s="2297"/>
      <c r="L79" s="336"/>
      <c r="M79" s="299"/>
      <c r="N79" s="299"/>
    </row>
    <row r="80" spans="1:14" x14ac:dyDescent="0.25">
      <c r="A80" s="299"/>
      <c r="B80" s="374"/>
      <c r="C80" s="2295"/>
      <c r="D80" s="2296"/>
      <c r="E80" s="2296"/>
      <c r="F80" s="2296"/>
      <c r="G80" s="2296"/>
      <c r="H80" s="2296"/>
      <c r="I80" s="2296"/>
      <c r="J80" s="2296"/>
      <c r="K80" s="2297"/>
      <c r="L80" s="336"/>
      <c r="M80" s="299"/>
      <c r="N80" s="299"/>
    </row>
    <row r="81" spans="1:14" x14ac:dyDescent="0.25">
      <c r="A81" s="299"/>
      <c r="B81" s="374"/>
      <c r="C81" s="2298"/>
      <c r="D81" s="2299"/>
      <c r="E81" s="2299"/>
      <c r="F81" s="2299"/>
      <c r="G81" s="2299"/>
      <c r="H81" s="2299"/>
      <c r="I81" s="2299"/>
      <c r="J81" s="2299"/>
      <c r="K81" s="2300"/>
      <c r="L81" s="336"/>
      <c r="M81" s="299"/>
      <c r="N81" s="299"/>
    </row>
    <row r="82" spans="1:14" x14ac:dyDescent="0.25">
      <c r="A82" s="299"/>
      <c r="B82" s="374"/>
      <c r="C82" s="348"/>
      <c r="D82" s="348"/>
      <c r="E82" s="348"/>
      <c r="F82" s="348"/>
      <c r="G82" s="1213"/>
      <c r="H82" s="348"/>
      <c r="I82" s="1214"/>
      <c r="J82" s="348"/>
      <c r="K82" s="348"/>
      <c r="L82" s="336"/>
      <c r="M82" s="299"/>
      <c r="N82" s="299"/>
    </row>
    <row r="83" spans="1:14" ht="13.8" thickBot="1" x14ac:dyDescent="0.3">
      <c r="A83" s="1194"/>
      <c r="B83" s="1262"/>
      <c r="C83" s="377"/>
      <c r="D83" s="377"/>
      <c r="E83" s="377"/>
      <c r="F83" s="377"/>
      <c r="G83" s="1263"/>
      <c r="H83" s="377"/>
      <c r="I83" s="1264"/>
      <c r="J83" s="377"/>
      <c r="K83" s="377"/>
      <c r="L83" s="343"/>
      <c r="M83" s="299"/>
      <c r="N83" s="299"/>
    </row>
    <row r="84" spans="1:14" ht="13.8" thickTop="1" x14ac:dyDescent="0.25">
      <c r="A84" s="299"/>
      <c r="B84" s="299"/>
      <c r="C84" s="308"/>
      <c r="D84" s="80"/>
      <c r="E84" s="80"/>
      <c r="F84" s="80"/>
      <c r="G84" s="80"/>
      <c r="H84" s="80"/>
      <c r="I84" s="80"/>
      <c r="J84" s="80"/>
      <c r="K84" s="80"/>
      <c r="L84" s="299"/>
      <c r="M84" s="299"/>
      <c r="N84" s="299"/>
    </row>
    <row r="85" spans="1:14" ht="15.75" customHeight="1" x14ac:dyDescent="0.25">
      <c r="A85" s="299"/>
      <c r="B85" s="299"/>
      <c r="C85" s="80"/>
      <c r="D85" s="80"/>
      <c r="E85" s="80"/>
      <c r="F85" s="80"/>
      <c r="G85" s="80"/>
      <c r="H85" s="80"/>
      <c r="I85" s="80"/>
      <c r="J85" s="80"/>
      <c r="K85" s="80"/>
      <c r="L85" s="299"/>
      <c r="M85" s="299"/>
      <c r="N85" s="299"/>
    </row>
    <row r="86" spans="1:14" ht="15.75" customHeight="1" x14ac:dyDescent="0.25">
      <c r="A86" s="299"/>
      <c r="B86" s="299"/>
      <c r="C86" s="80"/>
      <c r="D86" s="80"/>
      <c r="E86" s="80"/>
      <c r="F86" s="80"/>
      <c r="G86" s="80"/>
      <c r="H86" s="80"/>
      <c r="I86" s="80"/>
      <c r="J86" s="80"/>
      <c r="K86" s="80"/>
      <c r="L86" s="299"/>
      <c r="M86" s="299"/>
      <c r="N86" s="299"/>
    </row>
    <row r="87" spans="1:14" x14ac:dyDescent="0.25">
      <c r="A87" s="299"/>
      <c r="B87" s="299"/>
      <c r="C87" s="299"/>
      <c r="D87" s="299"/>
      <c r="E87" s="299"/>
      <c r="F87" s="299"/>
      <c r="G87" s="1193"/>
      <c r="H87" s="299"/>
      <c r="I87" s="1192"/>
      <c r="J87" s="299"/>
      <c r="K87" s="299"/>
      <c r="L87" s="299"/>
      <c r="M87" s="299"/>
      <c r="N87" s="299"/>
    </row>
    <row r="88" spans="1:14" s="1909" customFormat="1" x14ac:dyDescent="0.25">
      <c r="G88" s="1958"/>
      <c r="I88" s="1959"/>
    </row>
    <row r="89" spans="1:14" s="1909" customFormat="1" x14ac:dyDescent="0.25">
      <c r="G89" s="1958"/>
      <c r="I89" s="1959"/>
    </row>
    <row r="90" spans="1:14" s="1909" customFormat="1" x14ac:dyDescent="0.25">
      <c r="G90" s="1958"/>
      <c r="I90" s="1959"/>
    </row>
    <row r="91" spans="1:14" s="1909" customFormat="1" x14ac:dyDescent="0.25">
      <c r="G91" s="1958"/>
      <c r="I91" s="1959"/>
    </row>
    <row r="92" spans="1:14" s="1909" customFormat="1" x14ac:dyDescent="0.25">
      <c r="G92" s="1958"/>
      <c r="I92" s="1959"/>
    </row>
    <row r="93" spans="1:14" s="1909" customFormat="1" x14ac:dyDescent="0.25">
      <c r="G93" s="1958"/>
      <c r="I93" s="1959"/>
    </row>
    <row r="94" spans="1:14" s="1909" customFormat="1" x14ac:dyDescent="0.25">
      <c r="G94" s="1958"/>
      <c r="I94" s="1959"/>
    </row>
    <row r="95" spans="1:14" s="1909" customFormat="1" x14ac:dyDescent="0.25">
      <c r="G95" s="1958"/>
      <c r="I95" s="1959"/>
    </row>
    <row r="96" spans="1:14" s="1909" customFormat="1" x14ac:dyDescent="0.25">
      <c r="G96" s="1958"/>
      <c r="I96" s="1959"/>
    </row>
    <row r="97" spans="7:9" s="1909" customFormat="1" x14ac:dyDescent="0.25">
      <c r="G97" s="1958"/>
      <c r="I97" s="1959"/>
    </row>
    <row r="98" spans="7:9" s="1909" customFormat="1" x14ac:dyDescent="0.25">
      <c r="G98" s="1958"/>
      <c r="I98" s="1959"/>
    </row>
    <row r="99" spans="7:9" s="1909" customFormat="1" x14ac:dyDescent="0.25">
      <c r="G99" s="1958"/>
      <c r="I99" s="1959"/>
    </row>
    <row r="100" spans="7:9" s="1909" customFormat="1" x14ac:dyDescent="0.25">
      <c r="G100" s="1958"/>
      <c r="I100" s="1959"/>
    </row>
    <row r="101" spans="7:9" s="1909" customFormat="1" x14ac:dyDescent="0.25">
      <c r="G101" s="1958"/>
      <c r="I101" s="1959"/>
    </row>
    <row r="102" spans="7:9" s="1909" customFormat="1" x14ac:dyDescent="0.25">
      <c r="G102" s="1958"/>
      <c r="I102" s="1959"/>
    </row>
    <row r="103" spans="7:9" s="1909" customFormat="1" x14ac:dyDescent="0.25">
      <c r="G103" s="1958"/>
      <c r="I103" s="1959"/>
    </row>
    <row r="104" spans="7:9" s="1909" customFormat="1" x14ac:dyDescent="0.25">
      <c r="G104" s="1958"/>
      <c r="I104" s="1959"/>
    </row>
    <row r="105" spans="7:9" s="1909" customFormat="1" x14ac:dyDescent="0.25">
      <c r="G105" s="1958"/>
      <c r="I105" s="1959"/>
    </row>
    <row r="106" spans="7:9" s="1909" customFormat="1" x14ac:dyDescent="0.25">
      <c r="G106" s="1958"/>
      <c r="I106" s="1959"/>
    </row>
    <row r="107" spans="7:9" s="1909" customFormat="1" x14ac:dyDescent="0.25">
      <c r="G107" s="1958"/>
      <c r="I107" s="1959"/>
    </row>
    <row r="108" spans="7:9" s="1909" customFormat="1" x14ac:dyDescent="0.25">
      <c r="G108" s="1958"/>
      <c r="I108" s="1959"/>
    </row>
    <row r="109" spans="7:9" s="1909" customFormat="1" x14ac:dyDescent="0.25">
      <c r="G109" s="1958"/>
      <c r="I109" s="1959"/>
    </row>
    <row r="110" spans="7:9" s="1909" customFormat="1" x14ac:dyDescent="0.25">
      <c r="G110" s="1958"/>
      <c r="I110" s="1959"/>
    </row>
    <row r="111" spans="7:9" s="1909" customFormat="1" x14ac:dyDescent="0.25">
      <c r="G111" s="1958"/>
      <c r="I111" s="1959"/>
    </row>
    <row r="112" spans="7:9" s="1909" customFormat="1" x14ac:dyDescent="0.25">
      <c r="G112" s="1958"/>
      <c r="I112" s="1959"/>
    </row>
    <row r="113" spans="7:9" s="1909" customFormat="1" x14ac:dyDescent="0.25">
      <c r="G113" s="1958"/>
      <c r="I113" s="1959"/>
    </row>
    <row r="114" spans="7:9" s="1909" customFormat="1" x14ac:dyDescent="0.25">
      <c r="G114" s="1958"/>
      <c r="I114" s="1959"/>
    </row>
    <row r="115" spans="7:9" s="1909" customFormat="1" x14ac:dyDescent="0.25">
      <c r="G115" s="1958"/>
      <c r="I115" s="1959"/>
    </row>
    <row r="116" spans="7:9" s="1909" customFormat="1" x14ac:dyDescent="0.25">
      <c r="G116" s="1958"/>
      <c r="I116" s="1959"/>
    </row>
    <row r="117" spans="7:9" s="1909" customFormat="1" x14ac:dyDescent="0.25">
      <c r="G117" s="1958"/>
      <c r="I117" s="1959"/>
    </row>
    <row r="118" spans="7:9" s="1909" customFormat="1" x14ac:dyDescent="0.25">
      <c r="G118" s="1958"/>
      <c r="I118" s="1959"/>
    </row>
    <row r="119" spans="7:9" s="1909" customFormat="1" x14ac:dyDescent="0.25">
      <c r="G119" s="1958"/>
      <c r="I119" s="1959"/>
    </row>
    <row r="120" spans="7:9" s="1909" customFormat="1" x14ac:dyDescent="0.25">
      <c r="G120" s="1958"/>
      <c r="I120" s="1959"/>
    </row>
    <row r="121" spans="7:9" s="1909" customFormat="1" x14ac:dyDescent="0.25">
      <c r="G121" s="1958"/>
      <c r="I121" s="1959"/>
    </row>
    <row r="122" spans="7:9" s="1909" customFormat="1" x14ac:dyDescent="0.25">
      <c r="G122" s="1958"/>
      <c r="I122" s="1959"/>
    </row>
    <row r="123" spans="7:9" s="1909" customFormat="1" x14ac:dyDescent="0.25">
      <c r="G123" s="1958"/>
      <c r="I123" s="1959"/>
    </row>
    <row r="124" spans="7:9" s="1909" customFormat="1" x14ac:dyDescent="0.25">
      <c r="G124" s="1958"/>
      <c r="I124" s="1959"/>
    </row>
    <row r="125" spans="7:9" s="1909" customFormat="1" x14ac:dyDescent="0.25">
      <c r="G125" s="1958"/>
      <c r="I125" s="1959"/>
    </row>
    <row r="126" spans="7:9" s="1909" customFormat="1" x14ac:dyDescent="0.25">
      <c r="G126" s="1958"/>
      <c r="I126" s="1959"/>
    </row>
    <row r="127" spans="7:9" s="1909" customFormat="1" x14ac:dyDescent="0.25">
      <c r="G127" s="1958"/>
      <c r="I127" s="1959"/>
    </row>
    <row r="128" spans="7:9" s="1909" customFormat="1" x14ac:dyDescent="0.25">
      <c r="G128" s="1958"/>
      <c r="I128" s="1959"/>
    </row>
    <row r="129" spans="7:9" s="1909" customFormat="1" x14ac:dyDescent="0.25">
      <c r="G129" s="1958"/>
      <c r="I129" s="1959"/>
    </row>
    <row r="130" spans="7:9" s="1909" customFormat="1" x14ac:dyDescent="0.25">
      <c r="G130" s="1958"/>
      <c r="I130" s="1959"/>
    </row>
    <row r="131" spans="7:9" s="1909" customFormat="1" x14ac:dyDescent="0.25">
      <c r="G131" s="1958"/>
      <c r="I131" s="1959"/>
    </row>
    <row r="132" spans="7:9" s="1909" customFormat="1" x14ac:dyDescent="0.25">
      <c r="G132" s="1958"/>
      <c r="I132" s="1959"/>
    </row>
    <row r="133" spans="7:9" s="1909" customFormat="1" x14ac:dyDescent="0.25">
      <c r="G133" s="1958"/>
      <c r="I133" s="1959"/>
    </row>
    <row r="134" spans="7:9" s="1909" customFormat="1" x14ac:dyDescent="0.25">
      <c r="G134" s="1958"/>
      <c r="I134" s="1959"/>
    </row>
    <row r="135" spans="7:9" s="1909" customFormat="1" x14ac:dyDescent="0.25">
      <c r="G135" s="1958"/>
      <c r="I135" s="1959"/>
    </row>
    <row r="136" spans="7:9" s="1909" customFormat="1" x14ac:dyDescent="0.25">
      <c r="G136" s="1958"/>
      <c r="I136" s="1959"/>
    </row>
    <row r="137" spans="7:9" s="1909" customFormat="1" x14ac:dyDescent="0.25">
      <c r="G137" s="1958"/>
      <c r="I137" s="1959"/>
    </row>
    <row r="138" spans="7:9" s="1909" customFormat="1" x14ac:dyDescent="0.25">
      <c r="G138" s="1958"/>
      <c r="I138" s="1959"/>
    </row>
    <row r="139" spans="7:9" s="1909" customFormat="1" x14ac:dyDescent="0.25">
      <c r="G139" s="1958"/>
      <c r="I139" s="1959"/>
    </row>
    <row r="140" spans="7:9" s="1909" customFormat="1" x14ac:dyDescent="0.25">
      <c r="G140" s="1958"/>
      <c r="I140" s="1959"/>
    </row>
    <row r="141" spans="7:9" s="1909" customFormat="1" x14ac:dyDescent="0.25">
      <c r="G141" s="1958"/>
      <c r="I141" s="1959"/>
    </row>
    <row r="142" spans="7:9" s="1909" customFormat="1" x14ac:dyDescent="0.25">
      <c r="G142" s="1958"/>
      <c r="I142" s="1959"/>
    </row>
    <row r="143" spans="7:9" s="1909" customFormat="1" x14ac:dyDescent="0.25">
      <c r="G143" s="1958"/>
      <c r="I143" s="1959"/>
    </row>
    <row r="144" spans="7:9" s="1909" customFormat="1" x14ac:dyDescent="0.25">
      <c r="G144" s="1958"/>
      <c r="I144" s="1959"/>
    </row>
    <row r="145" spans="7:9" s="1909" customFormat="1" x14ac:dyDescent="0.25">
      <c r="G145" s="1958"/>
      <c r="I145" s="1959"/>
    </row>
    <row r="146" spans="7:9" s="1909" customFormat="1" x14ac:dyDescent="0.25">
      <c r="G146" s="1958"/>
      <c r="I146" s="1959"/>
    </row>
    <row r="147" spans="7:9" s="1909" customFormat="1" x14ac:dyDescent="0.25">
      <c r="G147" s="1958"/>
      <c r="I147" s="1959"/>
    </row>
    <row r="148" spans="7:9" s="1909" customFormat="1" x14ac:dyDescent="0.25">
      <c r="G148" s="1958"/>
      <c r="I148" s="1959"/>
    </row>
    <row r="149" spans="7:9" s="1909" customFormat="1" x14ac:dyDescent="0.25">
      <c r="G149" s="1958"/>
      <c r="I149" s="1959"/>
    </row>
    <row r="150" spans="7:9" s="1909" customFormat="1" x14ac:dyDescent="0.25">
      <c r="G150" s="1958"/>
      <c r="I150" s="1959"/>
    </row>
    <row r="151" spans="7:9" s="1909" customFormat="1" x14ac:dyDescent="0.25">
      <c r="G151" s="1958"/>
      <c r="I151" s="1959"/>
    </row>
    <row r="152" spans="7:9" s="1909" customFormat="1" x14ac:dyDescent="0.25">
      <c r="G152" s="1958"/>
      <c r="I152" s="1959"/>
    </row>
    <row r="153" spans="7:9" s="1909" customFormat="1" x14ac:dyDescent="0.25">
      <c r="G153" s="1958"/>
      <c r="I153" s="1959"/>
    </row>
    <row r="154" spans="7:9" s="1909" customFormat="1" x14ac:dyDescent="0.25">
      <c r="G154" s="1958"/>
      <c r="I154" s="1959"/>
    </row>
    <row r="155" spans="7:9" s="1909" customFormat="1" x14ac:dyDescent="0.25">
      <c r="G155" s="1958"/>
      <c r="I155" s="1959"/>
    </row>
    <row r="156" spans="7:9" s="1909" customFormat="1" x14ac:dyDescent="0.25">
      <c r="G156" s="1958"/>
      <c r="I156" s="1959"/>
    </row>
    <row r="157" spans="7:9" s="1909" customFormat="1" x14ac:dyDescent="0.25">
      <c r="G157" s="1958"/>
      <c r="I157" s="1959"/>
    </row>
    <row r="158" spans="7:9" s="1909" customFormat="1" x14ac:dyDescent="0.25">
      <c r="G158" s="1958"/>
      <c r="I158" s="1959"/>
    </row>
    <row r="159" spans="7:9" s="1909" customFormat="1" x14ac:dyDescent="0.25">
      <c r="G159" s="1958"/>
      <c r="I159" s="1959"/>
    </row>
    <row r="160" spans="7:9" s="1909" customFormat="1" x14ac:dyDescent="0.25">
      <c r="G160" s="1958"/>
      <c r="I160" s="1959"/>
    </row>
    <row r="161" spans="7:9" s="1909" customFormat="1" x14ac:dyDescent="0.25">
      <c r="G161" s="1958"/>
      <c r="I161" s="1959"/>
    </row>
    <row r="162" spans="7:9" s="1909" customFormat="1" x14ac:dyDescent="0.25">
      <c r="G162" s="1958"/>
      <c r="I162" s="1959"/>
    </row>
    <row r="163" spans="7:9" s="1909" customFormat="1" x14ac:dyDescent="0.25">
      <c r="G163" s="1958"/>
      <c r="I163" s="1959"/>
    </row>
    <row r="164" spans="7:9" s="1909" customFormat="1" x14ac:dyDescent="0.25">
      <c r="G164" s="1958"/>
      <c r="I164" s="1959"/>
    </row>
    <row r="165" spans="7:9" s="1909" customFormat="1" x14ac:dyDescent="0.25">
      <c r="G165" s="1958"/>
      <c r="I165" s="1959"/>
    </row>
    <row r="166" spans="7:9" s="1909" customFormat="1" x14ac:dyDescent="0.25">
      <c r="G166" s="1958"/>
      <c r="I166" s="1959"/>
    </row>
    <row r="167" spans="7:9" s="1909" customFormat="1" x14ac:dyDescent="0.25">
      <c r="G167" s="1958"/>
      <c r="I167" s="1959"/>
    </row>
    <row r="168" spans="7:9" s="1909" customFormat="1" x14ac:dyDescent="0.25">
      <c r="G168" s="1958"/>
      <c r="I168" s="1959"/>
    </row>
    <row r="169" spans="7:9" s="1909" customFormat="1" x14ac:dyDescent="0.25">
      <c r="G169" s="1958"/>
      <c r="I169" s="1959"/>
    </row>
    <row r="170" spans="7:9" s="1909" customFormat="1" x14ac:dyDescent="0.25">
      <c r="G170" s="1958"/>
      <c r="I170" s="1959"/>
    </row>
    <row r="171" spans="7:9" s="1909" customFormat="1" x14ac:dyDescent="0.25">
      <c r="G171" s="1958"/>
      <c r="I171" s="1959"/>
    </row>
    <row r="172" spans="7:9" s="1909" customFormat="1" x14ac:dyDescent="0.25">
      <c r="G172" s="1958"/>
      <c r="I172" s="1959"/>
    </row>
    <row r="173" spans="7:9" s="1909" customFormat="1" x14ac:dyDescent="0.25">
      <c r="G173" s="1958"/>
      <c r="I173" s="1959"/>
    </row>
    <row r="174" spans="7:9" s="1909" customFormat="1" x14ac:dyDescent="0.25">
      <c r="G174" s="1958"/>
      <c r="I174" s="1959"/>
    </row>
    <row r="175" spans="7:9" s="1909" customFormat="1" x14ac:dyDescent="0.25">
      <c r="G175" s="1958"/>
      <c r="I175" s="1959"/>
    </row>
  </sheetData>
  <sheetProtection password="E593" sheet="1" objects="1" scenarios="1"/>
  <customSheetViews>
    <customSheetView guid="{B63065A1-7838-417A-8679-08A8A2B79CD8}" scale="85" showPageBreaks="1" showGridLines="0" fitToPage="1" printArea="1">
      <selection activeCell="N33" sqref="N33"/>
      <pageMargins left="0.5" right="0.5" top="0.5" bottom="0.5" header="0.5" footer="0.5"/>
      <pageSetup scale="59" orientation="portrait" blackAndWhite="1" r:id="rId1"/>
      <headerFooter alignWithMargins="0"/>
    </customSheetView>
  </customSheetViews>
  <mergeCells count="29">
    <mergeCell ref="H52:H54"/>
    <mergeCell ref="C53:G54"/>
    <mergeCell ref="C64:F65"/>
    <mergeCell ref="D30:F30"/>
    <mergeCell ref="D31:F31"/>
    <mergeCell ref="D32:G32"/>
    <mergeCell ref="D33:F33"/>
    <mergeCell ref="D34:F34"/>
    <mergeCell ref="D35:F35"/>
    <mergeCell ref="D38:F38"/>
    <mergeCell ref="D37:F37"/>
    <mergeCell ref="C2:K2"/>
    <mergeCell ref="B67:L68"/>
    <mergeCell ref="C69:K81"/>
    <mergeCell ref="D29:F29"/>
    <mergeCell ref="D36:F36"/>
    <mergeCell ref="C3:K3"/>
    <mergeCell ref="C4:K4"/>
    <mergeCell ref="D26:F26"/>
    <mergeCell ref="D27:F27"/>
    <mergeCell ref="D28:F28"/>
    <mergeCell ref="C5:K5"/>
    <mergeCell ref="C6:K6"/>
    <mergeCell ref="I23:K23"/>
    <mergeCell ref="C17:F19"/>
    <mergeCell ref="D24:F24"/>
    <mergeCell ref="D25:F25"/>
    <mergeCell ref="C7:K7"/>
    <mergeCell ref="C8:K8"/>
  </mergeCells>
  <dataValidations count="1">
    <dataValidation allowBlank="1" showErrorMessage="1" error="." sqref="I58"/>
  </dataValidations>
  <pageMargins left="0.5" right="0.5" top="0.5" bottom="0.5" header="0.5" footer="0.5"/>
  <pageSetup scale="58" orientation="portrait" blackAndWhite="1" r:id="rId2"/>
  <headerFooter alignWithMargins="0"/>
  <drawing r:id="rId3"/>
  <legacyDrawing r:id="rId4"/>
  <controls>
    <mc:AlternateContent xmlns:mc="http://schemas.openxmlformats.org/markup-compatibility/2006">
      <mc:Choice Requires="x14">
        <control shapeId="27651" r:id="rId5" name="Label1">
          <controlPr defaultSize="0" print="0" autoLine="0" altText="The cell is derived from Step I.  If a different municipal authorization is applicable to Step II, enter the amount authorized." r:id="rId6">
            <anchor moveWithCells="1">
              <from>
                <xdr:col>9</xdr:col>
                <xdr:colOff>167640</xdr:colOff>
                <xdr:row>51</xdr:row>
                <xdr:rowOff>7620</xdr:rowOff>
              </from>
              <to>
                <xdr:col>13</xdr:col>
                <xdr:colOff>342900</xdr:colOff>
                <xdr:row>57</xdr:row>
                <xdr:rowOff>15240</xdr:rowOff>
              </to>
            </anchor>
          </controlPr>
        </control>
      </mc:Choice>
      <mc:Fallback>
        <control shapeId="27651" r:id="rId5" name="Label1"/>
      </mc:Fallback>
    </mc:AlternateContent>
    <mc:AlternateContent xmlns:mc="http://schemas.openxmlformats.org/markup-compatibility/2006">
      <mc:Choice Requires="x14">
        <control shapeId="27649" r:id="rId7" name="Button 1">
          <controlPr defaultSize="0" print="0" autoFill="0" autoPict="0" macro="[0]!BackMain">
            <anchor moveWithCells="1" sizeWithCells="1">
              <from>
                <xdr:col>1</xdr:col>
                <xdr:colOff>0</xdr:colOff>
                <xdr:row>2</xdr:row>
                <xdr:rowOff>45720</xdr:rowOff>
              </from>
              <to>
                <xdr:col>2</xdr:col>
                <xdr:colOff>541020</xdr:colOff>
                <xdr:row>4</xdr:row>
                <xdr:rowOff>114300</xdr:rowOff>
              </to>
            </anchor>
          </controlPr>
        </control>
      </mc:Choice>
    </mc:AlternateContent>
    <mc:AlternateContent xmlns:mc="http://schemas.openxmlformats.org/markup-compatibility/2006">
      <mc:Choice Requires="x14">
        <control shapeId="27650" r:id="rId8" name="Button 2">
          <controlPr defaultSize="0" print="0" autoFill="0" autoPict="0" macro="[0]!BackMain">
            <anchor moveWithCells="1" sizeWithCells="1">
              <from>
                <xdr:col>10</xdr:col>
                <xdr:colOff>784860</xdr:colOff>
                <xdr:row>84</xdr:row>
                <xdr:rowOff>0</xdr:rowOff>
              </from>
              <to>
                <xdr:col>11</xdr:col>
                <xdr:colOff>579120</xdr:colOff>
                <xdr:row>86</xdr:row>
                <xdr:rowOff>22860</xdr:rowOff>
              </to>
            </anchor>
          </controlPr>
        </control>
      </mc:Choice>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pageSetUpPr fitToPage="1"/>
  </sheetPr>
  <dimension ref="A1:Q105"/>
  <sheetViews>
    <sheetView showGridLines="0" zoomScaleNormal="100" workbookViewId="0">
      <selection activeCell="J57" sqref="J57"/>
    </sheetView>
  </sheetViews>
  <sheetFormatPr defaultRowHeight="13.2" x14ac:dyDescent="0.25"/>
  <cols>
    <col min="1" max="1" width="6.33203125" style="42" customWidth="1"/>
    <col min="2" max="2" width="13.33203125" style="28" customWidth="1"/>
    <col min="3" max="3" width="10.33203125" style="28" customWidth="1"/>
    <col min="4" max="4" width="29.109375" style="28" customWidth="1"/>
    <col min="5" max="5" width="14.109375" style="28" customWidth="1"/>
    <col min="6" max="6" width="18" style="59" customWidth="1"/>
    <col min="7" max="7" width="20.33203125" style="59" customWidth="1"/>
    <col min="8" max="8" width="18.33203125" style="59" customWidth="1"/>
    <col min="9" max="9" width="5.6640625" style="28" customWidth="1"/>
    <col min="10" max="11" width="8.88671875" style="28"/>
    <col min="12" max="17" width="8.88671875" style="1708"/>
    <col min="18" max="16384" width="8.88671875" style="28"/>
  </cols>
  <sheetData>
    <row r="1" spans="1:14" ht="42.6" customHeight="1" x14ac:dyDescent="0.25">
      <c r="A1" s="1267"/>
      <c r="B1" s="1128"/>
      <c r="C1" s="469"/>
      <c r="D1" s="469"/>
      <c r="E1" s="469"/>
      <c r="F1" s="901"/>
      <c r="G1" s="901"/>
      <c r="H1" s="901"/>
      <c r="I1" s="470"/>
      <c r="J1" s="78"/>
      <c r="K1" s="78"/>
    </row>
    <row r="2" spans="1:14" x14ac:dyDescent="0.25">
      <c r="A2" s="180"/>
      <c r="B2" s="469"/>
      <c r="C2" s="2859">
        <f>TestYear</f>
        <v>2023</v>
      </c>
      <c r="D2" s="2860"/>
      <c r="E2" s="2860"/>
      <c r="F2" s="2860"/>
      <c r="G2" s="2860"/>
      <c r="H2" s="2860"/>
      <c r="I2" s="79"/>
      <c r="J2" s="78"/>
      <c r="K2" s="78"/>
    </row>
    <row r="3" spans="1:14" x14ac:dyDescent="0.25">
      <c r="A3" s="178"/>
      <c r="B3" s="471"/>
      <c r="C3" s="2463" t="s">
        <v>720</v>
      </c>
      <c r="D3" s="2304"/>
      <c r="E3" s="2304"/>
      <c r="F3" s="2304"/>
      <c r="G3" s="2304"/>
      <c r="H3" s="2304"/>
      <c r="I3" s="78"/>
      <c r="J3" s="78"/>
      <c r="K3" s="78"/>
    </row>
    <row r="4" spans="1:14" x14ac:dyDescent="0.25">
      <c r="A4" s="521"/>
      <c r="B4" s="1129"/>
      <c r="C4" s="2861" t="s">
        <v>699</v>
      </c>
      <c r="D4" s="2862"/>
      <c r="E4" s="2862"/>
      <c r="F4" s="2862"/>
      <c r="G4" s="2862"/>
      <c r="H4" s="2862"/>
      <c r="I4" s="1265"/>
      <c r="J4" s="1265"/>
      <c r="K4" s="1265"/>
    </row>
    <row r="5" spans="1:14" ht="13.8" thickBot="1" x14ac:dyDescent="0.3">
      <c r="A5" s="521"/>
      <c r="B5" s="1128" t="str">
        <f>TestYear &amp; " Test Year"</f>
        <v>2023 Test Year</v>
      </c>
      <c r="C5" s="1298"/>
      <c r="D5" s="318"/>
      <c r="E5" s="318"/>
      <c r="F5" s="318"/>
      <c r="G5" s="318"/>
      <c r="H5" s="318"/>
      <c r="I5" s="1265"/>
      <c r="J5" s="470" t="s">
        <v>719</v>
      </c>
      <c r="K5" s="1265"/>
    </row>
    <row r="6" spans="1:14" ht="13.8" thickTop="1" x14ac:dyDescent="0.25">
      <c r="A6" s="523"/>
      <c r="B6" s="1308"/>
      <c r="C6" s="495"/>
      <c r="D6" s="528"/>
      <c r="E6" s="528"/>
      <c r="F6" s="1309" t="s">
        <v>721</v>
      </c>
      <c r="G6" s="1309"/>
      <c r="H6" s="1309"/>
      <c r="I6" s="225"/>
      <c r="J6" s="226"/>
      <c r="K6" s="78"/>
      <c r="L6" s="78"/>
      <c r="M6" s="78"/>
      <c r="N6" s="78"/>
    </row>
    <row r="7" spans="1:14" ht="12.45" customHeight="1" x14ac:dyDescent="0.25">
      <c r="A7" s="523"/>
      <c r="B7" s="835"/>
      <c r="C7" s="477"/>
      <c r="D7" s="526"/>
      <c r="E7" s="526"/>
      <c r="F7" s="1299" t="s">
        <v>722</v>
      </c>
      <c r="G7" s="1299" t="s">
        <v>723</v>
      </c>
      <c r="H7" s="1299" t="s">
        <v>724</v>
      </c>
      <c r="I7" s="205"/>
      <c r="J7" s="228"/>
      <c r="K7" s="78"/>
      <c r="L7" s="2852" t="s">
        <v>1303</v>
      </c>
      <c r="M7" s="2853"/>
      <c r="N7" s="78"/>
    </row>
    <row r="8" spans="1:14" x14ac:dyDescent="0.25">
      <c r="A8" s="523"/>
      <c r="B8" s="835"/>
      <c r="C8" s="477"/>
      <c r="D8" s="526"/>
      <c r="E8" s="526"/>
      <c r="F8" s="1300" t="s">
        <v>725</v>
      </c>
      <c r="G8" s="1300" t="s">
        <v>726</v>
      </c>
      <c r="H8" s="1300" t="s">
        <v>172</v>
      </c>
      <c r="I8" s="205"/>
      <c r="J8" s="228"/>
      <c r="K8" s="78"/>
      <c r="L8" s="2854"/>
      <c r="M8" s="2791"/>
      <c r="N8" s="78"/>
    </row>
    <row r="9" spans="1:14" x14ac:dyDescent="0.25">
      <c r="A9" s="180"/>
      <c r="B9" s="530"/>
      <c r="C9" s="1269"/>
      <c r="D9" s="709"/>
      <c r="E9" s="709"/>
      <c r="F9" s="1310"/>
      <c r="G9" s="1310"/>
      <c r="H9" s="1310"/>
      <c r="I9" s="709"/>
      <c r="J9" s="228"/>
      <c r="K9" s="78"/>
      <c r="L9" s="2855"/>
      <c r="M9" s="2856"/>
      <c r="N9" s="78"/>
    </row>
    <row r="10" spans="1:14" x14ac:dyDescent="0.25">
      <c r="A10" s="309"/>
      <c r="B10" s="378" t="s">
        <v>251</v>
      </c>
      <c r="C10" s="477" t="s">
        <v>339</v>
      </c>
      <c r="D10" s="477"/>
      <c r="E10" s="531"/>
      <c r="F10" s="1270">
        <f>Attach14!H13</f>
        <v>352535.77</v>
      </c>
      <c r="G10" s="1268">
        <v>0</v>
      </c>
      <c r="H10" s="1271">
        <f>ROUND(F10+G10,0)</f>
        <v>352536</v>
      </c>
      <c r="I10" s="205"/>
      <c r="J10" s="228"/>
      <c r="K10" s="78"/>
      <c r="L10" s="78"/>
      <c r="M10" s="78"/>
      <c r="N10" s="78"/>
    </row>
    <row r="11" spans="1:14" x14ac:dyDescent="0.25">
      <c r="A11" s="180"/>
      <c r="B11" s="530"/>
      <c r="C11" s="477"/>
      <c r="D11" s="477"/>
      <c r="E11" s="205"/>
      <c r="F11" s="1289"/>
      <c r="G11" s="1297"/>
      <c r="H11" s="1289"/>
      <c r="I11" s="205"/>
      <c r="J11" s="228"/>
      <c r="K11" s="78"/>
    </row>
    <row r="12" spans="1:14" x14ac:dyDescent="0.25">
      <c r="A12" s="180"/>
      <c r="B12" s="530"/>
      <c r="C12" s="477" t="s">
        <v>603</v>
      </c>
      <c r="D12" s="477"/>
      <c r="E12" s="531"/>
      <c r="F12" s="1311">
        <f>Attach14!H15</f>
        <v>276295</v>
      </c>
      <c r="G12" s="1268">
        <v>0</v>
      </c>
      <c r="H12" s="1272">
        <f>ROUND(F12+G12,0)</f>
        <v>276295</v>
      </c>
      <c r="I12" s="1202"/>
      <c r="J12" s="228"/>
      <c r="K12" s="78"/>
    </row>
    <row r="13" spans="1:14" x14ac:dyDescent="0.25">
      <c r="A13" s="180"/>
      <c r="B13" s="530"/>
      <c r="C13" s="477" t="s">
        <v>605</v>
      </c>
      <c r="D13" s="477"/>
      <c r="E13" s="531"/>
      <c r="F13" s="1312">
        <f>Attach14!H16</f>
        <v>70515</v>
      </c>
      <c r="G13" s="1312">
        <f>Attach20!K31</f>
        <v>0</v>
      </c>
      <c r="H13" s="1273">
        <f>ROUND(F13+G13,0)</f>
        <v>70515</v>
      </c>
      <c r="I13" s="205"/>
      <c r="J13" s="228"/>
      <c r="K13" s="78"/>
    </row>
    <row r="14" spans="1:14" x14ac:dyDescent="0.25">
      <c r="A14" s="180"/>
      <c r="B14" s="530"/>
      <c r="C14" s="477" t="s">
        <v>888</v>
      </c>
      <c r="D14" s="477"/>
      <c r="E14" s="531"/>
      <c r="F14" s="1312">
        <f>Attach14!H17</f>
        <v>0</v>
      </c>
      <c r="G14" s="1301">
        <v>0</v>
      </c>
      <c r="H14" s="1273">
        <f>ROUND(F14+G14,0)</f>
        <v>0</v>
      </c>
      <c r="I14" s="205"/>
      <c r="J14" s="228"/>
      <c r="K14" s="78"/>
    </row>
    <row r="15" spans="1:14" x14ac:dyDescent="0.25">
      <c r="A15" s="180"/>
      <c r="B15" s="530"/>
      <c r="C15" s="477"/>
      <c r="D15" s="477"/>
      <c r="E15" s="531"/>
      <c r="F15" s="1289"/>
      <c r="G15" s="1301">
        <v>0</v>
      </c>
      <c r="H15" s="1273">
        <f>ROUND(F15+G15,0)</f>
        <v>0</v>
      </c>
      <c r="I15" s="205"/>
      <c r="J15" s="228"/>
      <c r="K15" s="78"/>
    </row>
    <row r="16" spans="1:14" x14ac:dyDescent="0.25">
      <c r="A16" s="180"/>
      <c r="B16" s="530"/>
      <c r="C16" s="477" t="s">
        <v>606</v>
      </c>
      <c r="D16" s="477"/>
      <c r="E16" s="531"/>
      <c r="F16" s="1312">
        <f>Attach14!H19</f>
        <v>41636</v>
      </c>
      <c r="G16" s="1289">
        <f>IF(Attach20!H46=0,0,ROUND(Attach20!H60-Attach8!I30,0))</f>
        <v>0</v>
      </c>
      <c r="H16" s="1274">
        <f>ROUND(F16+G16,0)</f>
        <v>41636</v>
      </c>
      <c r="I16" s="1202"/>
      <c r="J16" s="228"/>
      <c r="K16" s="78"/>
    </row>
    <row r="17" spans="1:11" x14ac:dyDescent="0.25">
      <c r="A17" s="180"/>
      <c r="B17" s="530"/>
      <c r="C17" s="477"/>
      <c r="D17" s="477"/>
      <c r="E17" s="531"/>
      <c r="F17" s="1275"/>
      <c r="G17" s="1276"/>
      <c r="H17" s="1277"/>
      <c r="I17" s="1202"/>
      <c r="J17" s="228"/>
      <c r="K17" s="78"/>
    </row>
    <row r="18" spans="1:11" x14ac:dyDescent="0.25">
      <c r="A18" s="180"/>
      <c r="B18" s="530"/>
      <c r="C18" s="477" t="s">
        <v>608</v>
      </c>
      <c r="D18" s="477"/>
      <c r="E18" s="205"/>
      <c r="F18" s="1270">
        <f>SUM(F12:F16)</f>
        <v>388446</v>
      </c>
      <c r="G18" s="1270">
        <f>SUM(G12:G16)</f>
        <v>0</v>
      </c>
      <c r="H18" s="1271">
        <f>ROUND(SUM(H12:H16),0)</f>
        <v>388446</v>
      </c>
      <c r="I18" s="1202"/>
      <c r="J18" s="228"/>
      <c r="K18" s="78"/>
    </row>
    <row r="19" spans="1:11" x14ac:dyDescent="0.25">
      <c r="A19" s="180"/>
      <c r="B19" s="530"/>
      <c r="C19" s="477"/>
      <c r="D19" s="477"/>
      <c r="E19" s="205"/>
      <c r="F19" s="1289"/>
      <c r="G19" s="1289"/>
      <c r="H19" s="1313" t="s">
        <v>609</v>
      </c>
      <c r="I19" s="930"/>
      <c r="J19" s="228"/>
      <c r="K19" s="78"/>
    </row>
    <row r="20" spans="1:11" ht="13.8" thickBot="1" x14ac:dyDescent="0.3">
      <c r="A20" s="180"/>
      <c r="B20" s="530"/>
      <c r="C20" s="481" t="str">
        <f>CONCATENATE("Net Operating Income (Loss)-Test Year ",TestYear)</f>
        <v>Net Operating Income (Loss)-Test Year 2023</v>
      </c>
      <c r="D20" s="477"/>
      <c r="E20" s="205"/>
      <c r="F20" s="1278">
        <f>ROUND(F10-F18,0)</f>
        <v>-35910</v>
      </c>
      <c r="G20" s="1278">
        <f>ROUND(G10-G18,0)</f>
        <v>0</v>
      </c>
      <c r="H20" s="1278">
        <f>ROUND(H10-H18,0)</f>
        <v>-35910</v>
      </c>
      <c r="I20" s="1202"/>
      <c r="J20" s="228"/>
      <c r="K20" s="78"/>
    </row>
    <row r="21" spans="1:11" ht="13.8" thickTop="1" x14ac:dyDescent="0.25">
      <c r="A21" s="180"/>
      <c r="B21" s="1314"/>
      <c r="C21" s="783"/>
      <c r="D21" s="783"/>
      <c r="E21" s="1279"/>
      <c r="F21" s="1280"/>
      <c r="G21" s="1281"/>
      <c r="H21" s="1282" t="s">
        <v>609</v>
      </c>
      <c r="I21" s="205"/>
      <c r="J21" s="228"/>
      <c r="K21" s="78"/>
    </row>
    <row r="22" spans="1:11" x14ac:dyDescent="0.25">
      <c r="A22" s="180"/>
      <c r="B22" s="530"/>
      <c r="C22" s="1269"/>
      <c r="D22" s="526"/>
      <c r="E22" s="1283"/>
      <c r="F22" s="1284"/>
      <c r="G22" s="1285"/>
      <c r="H22" s="1284"/>
      <c r="I22" s="1283"/>
      <c r="J22" s="228"/>
      <c r="K22" s="78"/>
    </row>
    <row r="23" spans="1:11" x14ac:dyDescent="0.25">
      <c r="A23" s="309"/>
      <c r="B23" s="378" t="s">
        <v>261</v>
      </c>
      <c r="C23" s="477"/>
      <c r="D23" s="477"/>
      <c r="E23" s="531"/>
      <c r="F23" s="1315"/>
      <c r="G23" s="1316"/>
      <c r="H23" s="1315"/>
      <c r="I23" s="205"/>
      <c r="J23" s="228"/>
      <c r="K23" s="78"/>
    </row>
    <row r="24" spans="1:11" x14ac:dyDescent="0.25">
      <c r="A24" s="180"/>
      <c r="B24" s="530"/>
      <c r="C24" s="477" t="s">
        <v>727</v>
      </c>
      <c r="D24" s="477"/>
      <c r="E24" s="931"/>
      <c r="F24" s="1311">
        <f>TestYearTotalPlant</f>
        <v>2688524</v>
      </c>
      <c r="G24" s="1311">
        <f>Attach20!G31</f>
        <v>0</v>
      </c>
      <c r="H24" s="1272">
        <f>ROUND(F24+G24,0)</f>
        <v>2688524</v>
      </c>
      <c r="I24" s="1202"/>
      <c r="J24" s="228"/>
      <c r="K24" s="78"/>
    </row>
    <row r="25" spans="1:11" x14ac:dyDescent="0.25">
      <c r="A25" s="180"/>
      <c r="B25" s="530"/>
      <c r="C25" s="477"/>
      <c r="D25" s="477"/>
      <c r="E25" s="931"/>
      <c r="F25" s="1286"/>
      <c r="G25" s="1286"/>
      <c r="H25" s="1287"/>
      <c r="I25" s="1202"/>
      <c r="J25" s="228"/>
      <c r="K25" s="78"/>
    </row>
    <row r="26" spans="1:11" x14ac:dyDescent="0.25">
      <c r="A26" s="180"/>
      <c r="B26" s="530"/>
      <c r="C26" s="477" t="s">
        <v>728</v>
      </c>
      <c r="D26" s="477"/>
      <c r="E26" s="1296"/>
      <c r="F26" s="800">
        <f>Attach14!H30</f>
        <v>23500</v>
      </c>
      <c r="G26" s="1302">
        <v>0</v>
      </c>
      <c r="H26" s="990">
        <f>ROUND(F26+G26,0)</f>
        <v>23500</v>
      </c>
      <c r="I26" s="205"/>
      <c r="J26" s="228"/>
      <c r="K26" s="78"/>
    </row>
    <row r="27" spans="1:11" x14ac:dyDescent="0.25">
      <c r="A27" s="180"/>
      <c r="B27" s="530"/>
      <c r="C27" s="477"/>
      <c r="D27" s="1317"/>
      <c r="E27" s="931"/>
      <c r="F27" s="794"/>
      <c r="G27" s="1288"/>
      <c r="H27" s="794"/>
      <c r="I27" s="205"/>
      <c r="J27" s="228"/>
      <c r="K27" s="78"/>
    </row>
    <row r="28" spans="1:11" x14ac:dyDescent="0.25">
      <c r="A28" s="180"/>
      <c r="B28" s="530"/>
      <c r="C28" s="477" t="s">
        <v>729</v>
      </c>
      <c r="D28" s="1317"/>
      <c r="E28" s="931"/>
      <c r="F28" s="800">
        <f>Attach14!H33</f>
        <v>951297</v>
      </c>
      <c r="G28" s="800">
        <f>G13</f>
        <v>0</v>
      </c>
      <c r="H28" s="990">
        <f>ROUND(F28+G28,0)</f>
        <v>951297</v>
      </c>
      <c r="I28" s="205"/>
      <c r="J28" s="228"/>
      <c r="K28" s="78"/>
    </row>
    <row r="29" spans="1:11" x14ac:dyDescent="0.25">
      <c r="A29" s="180"/>
      <c r="B29" s="530"/>
      <c r="C29" s="477"/>
      <c r="D29" s="477"/>
      <c r="E29" s="1296"/>
      <c r="F29" s="794"/>
      <c r="G29" s="794"/>
      <c r="H29" s="1288"/>
      <c r="I29" s="205"/>
      <c r="J29" s="228"/>
      <c r="K29" s="78"/>
    </row>
    <row r="30" spans="1:11" x14ac:dyDescent="0.25">
      <c r="A30" s="180"/>
      <c r="B30" s="530"/>
      <c r="C30" s="477" t="s">
        <v>730</v>
      </c>
      <c r="D30" s="477"/>
      <c r="E30" s="1296"/>
      <c r="F30" s="1035">
        <f>Attach14!H36</f>
        <v>2700</v>
      </c>
      <c r="G30" s="1302">
        <v>0</v>
      </c>
      <c r="H30" s="1034">
        <f>ROUND(F30+G30,0)</f>
        <v>2700</v>
      </c>
      <c r="I30" s="205"/>
      <c r="J30" s="228"/>
      <c r="K30" s="78"/>
    </row>
    <row r="31" spans="1:11" x14ac:dyDescent="0.25">
      <c r="A31" s="180"/>
      <c r="B31" s="530"/>
      <c r="C31" s="477"/>
      <c r="D31" s="477"/>
      <c r="E31" s="1296"/>
      <c r="F31" s="1289"/>
      <c r="G31" s="1289"/>
      <c r="H31" s="1289"/>
      <c r="I31" s="205"/>
      <c r="J31" s="228"/>
      <c r="K31" s="78"/>
    </row>
    <row r="32" spans="1:11" ht="13.8" thickBot="1" x14ac:dyDescent="0.3">
      <c r="A32" s="180"/>
      <c r="B32" s="530"/>
      <c r="C32" s="481" t="s">
        <v>731</v>
      </c>
      <c r="D32" s="1317"/>
      <c r="E32" s="931"/>
      <c r="F32" s="1290">
        <f>F24+F26-F28-F30</f>
        <v>1758027</v>
      </c>
      <c r="G32" s="1290">
        <f>G24+G26-G28-G30</f>
        <v>0</v>
      </c>
      <c r="H32" s="1290">
        <f>H24+H26-H28-H30</f>
        <v>1758027</v>
      </c>
      <c r="I32" s="205"/>
      <c r="J32" s="228"/>
      <c r="K32" s="78"/>
    </row>
    <row r="33" spans="1:11" ht="13.8" thickTop="1" x14ac:dyDescent="0.25">
      <c r="A33" s="180"/>
      <c r="B33" s="530"/>
      <c r="C33" s="477"/>
      <c r="D33" s="477"/>
      <c r="E33" s="1296"/>
      <c r="F33" s="1297"/>
      <c r="G33" s="1286"/>
      <c r="H33" s="1291"/>
      <c r="I33" s="531"/>
      <c r="J33" s="228"/>
      <c r="K33" s="78"/>
    </row>
    <row r="34" spans="1:11" x14ac:dyDescent="0.25">
      <c r="A34" s="180"/>
      <c r="B34" s="1318"/>
      <c r="C34" s="1279"/>
      <c r="D34" s="781"/>
      <c r="E34" s="1292"/>
      <c r="F34" s="1293"/>
      <c r="G34" s="1294"/>
      <c r="H34" s="1295"/>
      <c r="I34" s="531"/>
      <c r="J34" s="228"/>
      <c r="K34" s="78"/>
    </row>
    <row r="35" spans="1:11" x14ac:dyDescent="0.25">
      <c r="A35" s="180"/>
      <c r="B35" s="229"/>
      <c r="C35" s="205"/>
      <c r="D35" s="205"/>
      <c r="E35" s="1296"/>
      <c r="F35" s="1297"/>
      <c r="G35" s="1297"/>
      <c r="H35" s="1291"/>
      <c r="I35" s="205"/>
      <c r="J35" s="228"/>
      <c r="K35" s="78"/>
    </row>
    <row r="36" spans="1:11" x14ac:dyDescent="0.25">
      <c r="A36" s="309"/>
      <c r="B36" s="378" t="s">
        <v>617</v>
      </c>
      <c r="C36" s="477" t="s">
        <v>618</v>
      </c>
      <c r="D36" s="477"/>
      <c r="E36" s="477"/>
      <c r="F36" s="477"/>
      <c r="G36" s="939" t="s">
        <v>619</v>
      </c>
      <c r="H36" s="1150">
        <f>H32</f>
        <v>1758027</v>
      </c>
      <c r="I36" s="205"/>
      <c r="J36" s="228"/>
      <c r="K36" s="78"/>
    </row>
    <row r="37" spans="1:11" x14ac:dyDescent="0.25">
      <c r="A37" s="180"/>
      <c r="B37" s="229"/>
      <c r="C37" s="481" t="s">
        <v>889</v>
      </c>
      <c r="D37" s="477"/>
      <c r="E37" s="477"/>
      <c r="F37" s="477"/>
      <c r="G37" s="477"/>
      <c r="H37" s="477"/>
      <c r="I37" s="205"/>
      <c r="J37" s="228"/>
      <c r="K37" s="78"/>
    </row>
    <row r="38" spans="1:11" x14ac:dyDescent="0.25">
      <c r="A38" s="180"/>
      <c r="B38" s="229"/>
      <c r="C38" s="2783" t="s">
        <v>893</v>
      </c>
      <c r="D38" s="2848"/>
      <c r="E38" s="2848"/>
      <c r="F38" s="1322">
        <f>Attach14!G43</f>
        <v>7.1999999999999995E-2</v>
      </c>
      <c r="G38" s="1310"/>
      <c r="H38" s="1303">
        <f>F38</f>
        <v>7.1999999999999995E-2</v>
      </c>
      <c r="I38" s="205"/>
      <c r="J38" s="228"/>
      <c r="K38" s="78"/>
    </row>
    <row r="39" spans="1:11" x14ac:dyDescent="0.25">
      <c r="A39" s="180"/>
      <c r="B39" s="229"/>
      <c r="C39" s="2848"/>
      <c r="D39" s="2848"/>
      <c r="E39" s="2848"/>
      <c r="F39" s="477"/>
      <c r="G39" s="477"/>
      <c r="H39" s="1304"/>
      <c r="I39" s="205"/>
      <c r="J39" s="228"/>
      <c r="K39" s="78"/>
    </row>
    <row r="40" spans="1:11" ht="13.8" thickBot="1" x14ac:dyDescent="0.3">
      <c r="A40" s="180"/>
      <c r="B40" s="229"/>
      <c r="C40" s="477" t="s">
        <v>621</v>
      </c>
      <c r="D40" s="477"/>
      <c r="E40" s="477"/>
      <c r="F40" s="477"/>
      <c r="G40" s="526"/>
      <c r="H40" s="1305">
        <f>ROUND(H36*H38,0)</f>
        <v>126578</v>
      </c>
      <c r="I40" s="709" t="s">
        <v>402</v>
      </c>
      <c r="J40" s="228"/>
      <c r="K40" s="78"/>
    </row>
    <row r="41" spans="1:11" ht="13.8" thickTop="1" x14ac:dyDescent="0.25">
      <c r="A41" s="180"/>
      <c r="B41" s="229"/>
      <c r="C41" s="477"/>
      <c r="D41" s="477"/>
      <c r="E41" s="477"/>
      <c r="F41" s="477"/>
      <c r="G41" s="526"/>
      <c r="H41" s="1149"/>
      <c r="I41" s="531"/>
      <c r="J41" s="228"/>
      <c r="K41" s="78"/>
    </row>
    <row r="42" spans="1:11" x14ac:dyDescent="0.25">
      <c r="A42" s="180"/>
      <c r="B42" s="229"/>
      <c r="C42" s="477" t="s">
        <v>603</v>
      </c>
      <c r="D42" s="477"/>
      <c r="E42" s="477"/>
      <c r="F42" s="477"/>
      <c r="G42" s="939" t="s">
        <v>622</v>
      </c>
      <c r="H42" s="1319">
        <f>H12</f>
        <v>276295</v>
      </c>
      <c r="I42" s="531"/>
      <c r="J42" s="228"/>
      <c r="K42" s="78"/>
    </row>
    <row r="43" spans="1:11" x14ac:dyDescent="0.25">
      <c r="A43" s="180"/>
      <c r="B43" s="229"/>
      <c r="C43" s="481" t="s">
        <v>890</v>
      </c>
      <c r="D43" s="477"/>
      <c r="E43" s="477"/>
      <c r="F43" s="477"/>
      <c r="G43" s="526"/>
      <c r="H43" s="1303">
        <v>0.06</v>
      </c>
      <c r="I43" s="531"/>
      <c r="J43" s="228"/>
      <c r="K43" s="78"/>
    </row>
    <row r="44" spans="1:11" ht="13.8" thickBot="1" x14ac:dyDescent="0.3">
      <c r="A44" s="180"/>
      <c r="B44" s="229"/>
      <c r="C44" s="477" t="s">
        <v>623</v>
      </c>
      <c r="D44" s="477"/>
      <c r="E44" s="477"/>
      <c r="F44" s="477"/>
      <c r="G44" s="477"/>
      <c r="H44" s="1305">
        <f>ROUND(H42*H43,0)</f>
        <v>16578</v>
      </c>
      <c r="I44" s="709" t="s">
        <v>404</v>
      </c>
      <c r="J44" s="228"/>
      <c r="K44" s="78"/>
    </row>
    <row r="45" spans="1:11" ht="13.8" thickTop="1" x14ac:dyDescent="0.25">
      <c r="A45" s="180"/>
      <c r="B45" s="229"/>
      <c r="C45" s="477"/>
      <c r="D45" s="477"/>
      <c r="E45" s="477"/>
      <c r="F45" s="477"/>
      <c r="G45" s="477"/>
      <c r="H45" s="1149"/>
      <c r="I45" s="205"/>
      <c r="J45" s="228"/>
      <c r="K45" s="78"/>
    </row>
    <row r="46" spans="1:11" x14ac:dyDescent="0.25">
      <c r="A46" s="180"/>
      <c r="B46" s="229"/>
      <c r="C46" s="481" t="s">
        <v>624</v>
      </c>
      <c r="D46" s="477"/>
      <c r="E46" s="477"/>
      <c r="F46" s="477"/>
      <c r="G46" s="477"/>
      <c r="H46" s="477"/>
      <c r="I46" s="1202"/>
      <c r="J46" s="228"/>
      <c r="K46" s="78"/>
    </row>
    <row r="47" spans="1:11" x14ac:dyDescent="0.25">
      <c r="A47" s="180"/>
      <c r="B47" s="229"/>
      <c r="C47" s="477" t="s">
        <v>891</v>
      </c>
      <c r="D47" s="477"/>
      <c r="E47" s="477"/>
      <c r="F47" s="477"/>
      <c r="G47" s="477"/>
      <c r="H47" s="1150">
        <f>IF(H40&gt;H44,H40,H44)</f>
        <v>126578</v>
      </c>
      <c r="I47" s="531"/>
      <c r="J47" s="228"/>
      <c r="K47" s="78"/>
    </row>
    <row r="48" spans="1:11" x14ac:dyDescent="0.25">
      <c r="A48" s="180"/>
      <c r="B48" s="229"/>
      <c r="C48" s="477"/>
      <c r="D48" s="477"/>
      <c r="E48" s="477"/>
      <c r="F48" s="477"/>
      <c r="G48" s="477"/>
      <c r="H48" s="1149"/>
      <c r="I48" s="205"/>
      <c r="J48" s="228"/>
      <c r="K48" s="78"/>
    </row>
    <row r="49" spans="1:11" x14ac:dyDescent="0.25">
      <c r="A49" s="180"/>
      <c r="B49" s="229"/>
      <c r="C49" s="477" t="s">
        <v>732</v>
      </c>
      <c r="D49" s="477"/>
      <c r="E49" s="477"/>
      <c r="F49" s="477"/>
      <c r="G49" s="939" t="s">
        <v>622</v>
      </c>
      <c r="H49" s="1306">
        <f>H20</f>
        <v>-35910</v>
      </c>
      <c r="I49" s="205"/>
      <c r="J49" s="228"/>
      <c r="K49" s="78"/>
    </row>
    <row r="50" spans="1:11" x14ac:dyDescent="0.25">
      <c r="A50" s="180"/>
      <c r="B50" s="229"/>
      <c r="C50" s="477"/>
      <c r="D50" s="477"/>
      <c r="E50" s="477"/>
      <c r="F50" s="477"/>
      <c r="G50" s="477"/>
      <c r="H50" s="480" t="s">
        <v>609</v>
      </c>
      <c r="I50" s="205"/>
      <c r="J50" s="228"/>
      <c r="K50" s="78"/>
    </row>
    <row r="51" spans="1:11" ht="13.8" thickBot="1" x14ac:dyDescent="0.3">
      <c r="A51" s="180"/>
      <c r="B51" s="229"/>
      <c r="C51" s="2857" t="str">
        <f>CONCATENATE("Increase Requested-Test Year ",TestYear,"--Combined Step I and II")</f>
        <v>Increase Requested-Test Year 2023--Combined Step I and II</v>
      </c>
      <c r="D51" s="2858"/>
      <c r="E51" s="2858"/>
      <c r="F51" s="2858"/>
      <c r="G51" s="2858"/>
      <c r="H51" s="1305">
        <f>H47-H49</f>
        <v>162488</v>
      </c>
      <c r="I51" s="205"/>
      <c r="J51" s="228"/>
      <c r="K51" s="78"/>
    </row>
    <row r="52" spans="1:11" ht="14.4" thickTop="1" thickBot="1" x14ac:dyDescent="0.3">
      <c r="A52" s="180"/>
      <c r="B52" s="229"/>
      <c r="C52" s="477"/>
      <c r="D52" s="477" t="s">
        <v>626</v>
      </c>
      <c r="E52" s="477"/>
      <c r="F52" s="477"/>
      <c r="G52" s="477"/>
      <c r="H52" s="526"/>
      <c r="I52" s="205"/>
      <c r="J52" s="228"/>
      <c r="K52" s="78"/>
    </row>
    <row r="53" spans="1:11" ht="13.8" thickBot="1" x14ac:dyDescent="0.3">
      <c r="A53" s="180"/>
      <c r="B53" s="229"/>
      <c r="C53" s="477"/>
      <c r="D53" s="477" t="s">
        <v>892</v>
      </c>
      <c r="E53" s="477"/>
      <c r="F53" s="477"/>
      <c r="G53" s="1307">
        <f>IF(Attach7!H42&lt;&gt;0,H51/Attach7!H42,0)</f>
        <v>0.46754324022531546</v>
      </c>
      <c r="H53" s="477"/>
      <c r="I53" s="205"/>
      <c r="J53" s="228"/>
      <c r="K53" s="78"/>
    </row>
    <row r="54" spans="1:11" ht="15" customHeight="1" x14ac:dyDescent="0.25">
      <c r="A54" s="180"/>
      <c r="B54" s="229"/>
      <c r="C54" s="477"/>
      <c r="D54" s="477"/>
      <c r="E54" s="477"/>
      <c r="F54" s="477"/>
      <c r="G54" s="477"/>
      <c r="H54" s="477"/>
      <c r="I54" s="205"/>
      <c r="J54" s="228"/>
      <c r="K54" s="78"/>
    </row>
    <row r="55" spans="1:11" x14ac:dyDescent="0.25">
      <c r="A55" s="180"/>
      <c r="B55" s="229"/>
      <c r="C55" s="205"/>
      <c r="D55" s="205"/>
      <c r="E55" s="205"/>
      <c r="F55" s="1297"/>
      <c r="G55" s="1297"/>
      <c r="H55" s="1297"/>
      <c r="I55" s="205"/>
      <c r="J55" s="228"/>
      <c r="K55" s="78"/>
    </row>
    <row r="56" spans="1:11" x14ac:dyDescent="0.25">
      <c r="A56" s="180"/>
      <c r="B56" s="229"/>
      <c r="C56" s="205"/>
      <c r="D56" s="205"/>
      <c r="E56" s="205"/>
      <c r="F56" s="1315"/>
      <c r="G56" s="1315"/>
      <c r="H56" s="1315"/>
      <c r="I56" s="205"/>
      <c r="J56" s="228"/>
      <c r="K56" s="78"/>
    </row>
    <row r="57" spans="1:11" x14ac:dyDescent="0.25">
      <c r="A57" s="180"/>
      <c r="B57" s="229"/>
      <c r="C57" s="205"/>
      <c r="D57" s="205"/>
      <c r="E57" s="205"/>
      <c r="F57" s="1315"/>
      <c r="G57" s="1315"/>
      <c r="H57" s="1315"/>
      <c r="I57" s="1320"/>
      <c r="J57" s="228"/>
      <c r="K57" s="78"/>
    </row>
    <row r="58" spans="1:11" ht="13.8" thickBot="1" x14ac:dyDescent="0.3">
      <c r="A58" s="180"/>
      <c r="B58" s="230"/>
      <c r="C58" s="231"/>
      <c r="D58" s="231"/>
      <c r="E58" s="231"/>
      <c r="F58" s="1321"/>
      <c r="G58" s="1321"/>
      <c r="H58" s="1321"/>
      <c r="I58" s="231"/>
      <c r="J58" s="232"/>
      <c r="K58" s="78"/>
    </row>
    <row r="59" spans="1:11" ht="13.8" thickTop="1" x14ac:dyDescent="0.25">
      <c r="A59" s="180"/>
      <c r="B59" s="78"/>
      <c r="C59" s="78"/>
      <c r="D59" s="78"/>
      <c r="E59" s="78"/>
      <c r="F59" s="1266"/>
      <c r="G59" s="1266"/>
      <c r="H59" s="1266"/>
      <c r="I59" s="78"/>
      <c r="J59" s="78"/>
      <c r="K59" s="78"/>
    </row>
    <row r="60" spans="1:11" x14ac:dyDescent="0.25">
      <c r="A60" s="180"/>
      <c r="B60" s="78"/>
      <c r="C60" s="78"/>
      <c r="D60" s="78"/>
      <c r="E60" s="78"/>
      <c r="F60" s="1266"/>
      <c r="G60" s="1266"/>
      <c r="H60" s="1266"/>
      <c r="I60" s="78"/>
      <c r="J60" s="78"/>
      <c r="K60" s="78"/>
    </row>
    <row r="61" spans="1:11" x14ac:dyDescent="0.25">
      <c r="A61" s="180"/>
      <c r="B61" s="78"/>
      <c r="C61" s="78"/>
      <c r="D61" s="78"/>
      <c r="E61" s="78"/>
      <c r="F61" s="1266"/>
      <c r="G61" s="1266"/>
      <c r="H61" s="1266"/>
      <c r="I61" s="78"/>
      <c r="J61" s="78"/>
      <c r="K61" s="78"/>
    </row>
    <row r="62" spans="1:11" x14ac:dyDescent="0.25">
      <c r="A62" s="180"/>
      <c r="B62" s="78"/>
      <c r="C62" s="78"/>
      <c r="D62" s="78"/>
      <c r="E62" s="78"/>
      <c r="F62" s="1266"/>
      <c r="G62" s="1266"/>
      <c r="H62" s="1266"/>
      <c r="I62" s="78"/>
      <c r="J62" s="78"/>
      <c r="K62" s="78"/>
    </row>
    <row r="63" spans="1:11" s="1708" customFormat="1" x14ac:dyDescent="0.25">
      <c r="A63" s="1858"/>
      <c r="F63" s="1960"/>
      <c r="G63" s="1960"/>
      <c r="H63" s="1960"/>
    </row>
    <row r="64" spans="1:11" s="1708" customFormat="1" x14ac:dyDescent="0.25">
      <c r="A64" s="1858"/>
      <c r="F64" s="1960"/>
      <c r="G64" s="1960"/>
      <c r="H64" s="1960"/>
    </row>
    <row r="65" spans="1:8" s="1708" customFormat="1" x14ac:dyDescent="0.25">
      <c r="A65" s="1858"/>
      <c r="F65" s="1960"/>
      <c r="G65" s="1960"/>
      <c r="H65" s="1960"/>
    </row>
    <row r="66" spans="1:8" s="1708" customFormat="1" x14ac:dyDescent="0.25">
      <c r="A66" s="1858"/>
      <c r="F66" s="1960"/>
      <c r="G66" s="1960"/>
      <c r="H66" s="1960"/>
    </row>
    <row r="67" spans="1:8" s="1708" customFormat="1" x14ac:dyDescent="0.25">
      <c r="A67" s="1858"/>
      <c r="F67" s="1960"/>
      <c r="G67" s="1960"/>
      <c r="H67" s="1960"/>
    </row>
    <row r="68" spans="1:8" s="1708" customFormat="1" x14ac:dyDescent="0.25">
      <c r="A68" s="1858"/>
      <c r="F68" s="1960"/>
      <c r="G68" s="1960"/>
      <c r="H68" s="1960"/>
    </row>
    <row r="69" spans="1:8" s="1708" customFormat="1" x14ac:dyDescent="0.25">
      <c r="A69" s="1858"/>
      <c r="F69" s="1960"/>
      <c r="G69" s="1960"/>
      <c r="H69" s="1960"/>
    </row>
    <row r="70" spans="1:8" s="1708" customFormat="1" x14ac:dyDescent="0.25">
      <c r="A70" s="1858"/>
      <c r="F70" s="1960"/>
      <c r="G70" s="1960"/>
      <c r="H70" s="1960"/>
    </row>
    <row r="71" spans="1:8" s="1708" customFormat="1" x14ac:dyDescent="0.25">
      <c r="A71" s="1858"/>
      <c r="F71" s="1960"/>
      <c r="G71" s="1960"/>
      <c r="H71" s="1960"/>
    </row>
    <row r="72" spans="1:8" s="1708" customFormat="1" x14ac:dyDescent="0.25">
      <c r="A72" s="1858"/>
      <c r="F72" s="1960"/>
      <c r="G72" s="1960"/>
      <c r="H72" s="1960"/>
    </row>
    <row r="73" spans="1:8" s="1708" customFormat="1" x14ac:dyDescent="0.25">
      <c r="A73" s="1858"/>
      <c r="F73" s="1960"/>
      <c r="G73" s="1960"/>
      <c r="H73" s="1960"/>
    </row>
    <row r="74" spans="1:8" s="1708" customFormat="1" x14ac:dyDescent="0.25">
      <c r="A74" s="1858"/>
      <c r="F74" s="1960"/>
      <c r="G74" s="1960"/>
      <c r="H74" s="1960"/>
    </row>
    <row r="75" spans="1:8" s="1708" customFormat="1" x14ac:dyDescent="0.25">
      <c r="A75" s="1858"/>
      <c r="F75" s="1960"/>
      <c r="G75" s="1960"/>
      <c r="H75" s="1960"/>
    </row>
    <row r="76" spans="1:8" s="1708" customFormat="1" x14ac:dyDescent="0.25">
      <c r="A76" s="1858"/>
      <c r="F76" s="1960"/>
      <c r="G76" s="1960"/>
      <c r="H76" s="1960"/>
    </row>
    <row r="77" spans="1:8" s="1708" customFormat="1" x14ac:dyDescent="0.25">
      <c r="A77" s="1858"/>
      <c r="F77" s="1960"/>
      <c r="G77" s="1960"/>
      <c r="H77" s="1960"/>
    </row>
    <row r="78" spans="1:8" s="1708" customFormat="1" x14ac:dyDescent="0.25">
      <c r="A78" s="1858"/>
      <c r="F78" s="1960"/>
      <c r="G78" s="1960"/>
      <c r="H78" s="1960"/>
    </row>
    <row r="79" spans="1:8" s="1708" customFormat="1" x14ac:dyDescent="0.25">
      <c r="A79" s="1858"/>
      <c r="F79" s="1960"/>
      <c r="G79" s="1960"/>
      <c r="H79" s="1960"/>
    </row>
    <row r="80" spans="1:8" s="1708" customFormat="1" x14ac:dyDescent="0.25">
      <c r="A80" s="1858"/>
      <c r="F80" s="1960"/>
      <c r="G80" s="1960"/>
      <c r="H80" s="1960"/>
    </row>
    <row r="81" spans="1:8" s="1708" customFormat="1" x14ac:dyDescent="0.25">
      <c r="A81" s="1858"/>
      <c r="F81" s="1960"/>
      <c r="G81" s="1960"/>
      <c r="H81" s="1960"/>
    </row>
    <row r="82" spans="1:8" s="1708" customFormat="1" x14ac:dyDescent="0.25">
      <c r="A82" s="1858"/>
      <c r="F82" s="1960"/>
      <c r="G82" s="1960"/>
      <c r="H82" s="1960"/>
    </row>
    <row r="83" spans="1:8" s="1708" customFormat="1" x14ac:dyDescent="0.25">
      <c r="A83" s="1858"/>
      <c r="F83" s="1960"/>
      <c r="G83" s="1960"/>
      <c r="H83" s="1960"/>
    </row>
    <row r="84" spans="1:8" s="1708" customFormat="1" x14ac:dyDescent="0.25">
      <c r="A84" s="1858"/>
      <c r="F84" s="1960"/>
      <c r="G84" s="1960"/>
      <c r="H84" s="1960"/>
    </row>
    <row r="85" spans="1:8" s="1708" customFormat="1" x14ac:dyDescent="0.25">
      <c r="A85" s="1858"/>
      <c r="F85" s="1960"/>
      <c r="G85" s="1960"/>
      <c r="H85" s="1960"/>
    </row>
    <row r="86" spans="1:8" s="1708" customFormat="1" x14ac:dyDescent="0.25">
      <c r="A86" s="1858"/>
      <c r="F86" s="1960"/>
      <c r="G86" s="1960"/>
      <c r="H86" s="1960"/>
    </row>
    <row r="87" spans="1:8" s="1708" customFormat="1" x14ac:dyDescent="0.25">
      <c r="A87" s="1858"/>
      <c r="F87" s="1960"/>
      <c r="G87" s="1960"/>
      <c r="H87" s="1960"/>
    </row>
    <row r="88" spans="1:8" s="1708" customFormat="1" x14ac:dyDescent="0.25">
      <c r="A88" s="1858"/>
      <c r="F88" s="1960"/>
      <c r="G88" s="1960"/>
      <c r="H88" s="1960"/>
    </row>
    <row r="89" spans="1:8" s="1708" customFormat="1" x14ac:dyDescent="0.25">
      <c r="A89" s="1858"/>
      <c r="F89" s="1960"/>
      <c r="G89" s="1960"/>
      <c r="H89" s="1960"/>
    </row>
    <row r="90" spans="1:8" s="1708" customFormat="1" x14ac:dyDescent="0.25">
      <c r="A90" s="1858"/>
      <c r="F90" s="1960"/>
      <c r="G90" s="1960"/>
      <c r="H90" s="1960"/>
    </row>
    <row r="91" spans="1:8" s="1708" customFormat="1" x14ac:dyDescent="0.25">
      <c r="A91" s="1858"/>
      <c r="F91" s="1960"/>
      <c r="G91" s="1960"/>
      <c r="H91" s="1960"/>
    </row>
    <row r="92" spans="1:8" s="1708" customFormat="1" x14ac:dyDescent="0.25">
      <c r="A92" s="1858"/>
      <c r="F92" s="1960"/>
      <c r="G92" s="1960"/>
      <c r="H92" s="1960"/>
    </row>
    <row r="93" spans="1:8" s="1708" customFormat="1" x14ac:dyDescent="0.25">
      <c r="A93" s="1858"/>
      <c r="F93" s="1960"/>
      <c r="G93" s="1960"/>
      <c r="H93" s="1960"/>
    </row>
    <row r="94" spans="1:8" s="1708" customFormat="1" x14ac:dyDescent="0.25">
      <c r="A94" s="1858"/>
      <c r="F94" s="1960"/>
      <c r="G94" s="1960"/>
      <c r="H94" s="1960"/>
    </row>
    <row r="95" spans="1:8" s="1708" customFormat="1" x14ac:dyDescent="0.25">
      <c r="A95" s="1858"/>
      <c r="F95" s="1960"/>
      <c r="G95" s="1960"/>
      <c r="H95" s="1960"/>
    </row>
    <row r="96" spans="1:8" s="1708" customFormat="1" x14ac:dyDescent="0.25">
      <c r="A96" s="1858"/>
      <c r="F96" s="1960"/>
      <c r="G96" s="1960"/>
      <c r="H96" s="1960"/>
    </row>
    <row r="97" spans="1:8" s="1708" customFormat="1" x14ac:dyDescent="0.25">
      <c r="A97" s="1858"/>
      <c r="F97" s="1960"/>
      <c r="G97" s="1960"/>
      <c r="H97" s="1960"/>
    </row>
    <row r="98" spans="1:8" s="1708" customFormat="1" x14ac:dyDescent="0.25">
      <c r="A98" s="1858"/>
      <c r="F98" s="1960"/>
      <c r="G98" s="1960"/>
      <c r="H98" s="1960"/>
    </row>
    <row r="99" spans="1:8" s="1708" customFormat="1" x14ac:dyDescent="0.25">
      <c r="A99" s="1858"/>
      <c r="F99" s="1960"/>
      <c r="G99" s="1960"/>
      <c r="H99" s="1960"/>
    </row>
    <row r="100" spans="1:8" s="1708" customFormat="1" x14ac:dyDescent="0.25">
      <c r="A100" s="1858"/>
      <c r="F100" s="1960"/>
      <c r="G100" s="1960"/>
      <c r="H100" s="1960"/>
    </row>
    <row r="101" spans="1:8" s="1708" customFormat="1" x14ac:dyDescent="0.25">
      <c r="A101" s="1858"/>
      <c r="F101" s="1960"/>
      <c r="G101" s="1960"/>
      <c r="H101" s="1960"/>
    </row>
    <row r="102" spans="1:8" s="1708" customFormat="1" x14ac:dyDescent="0.25">
      <c r="A102" s="1858"/>
      <c r="F102" s="1960"/>
      <c r="G102" s="1960"/>
      <c r="H102" s="1960"/>
    </row>
    <row r="103" spans="1:8" s="1708" customFormat="1" x14ac:dyDescent="0.25">
      <c r="A103" s="1858"/>
      <c r="F103" s="1960"/>
      <c r="G103" s="1960"/>
      <c r="H103" s="1960"/>
    </row>
    <row r="104" spans="1:8" s="1708" customFormat="1" x14ac:dyDescent="0.25">
      <c r="A104" s="1858"/>
      <c r="F104" s="1960"/>
      <c r="G104" s="1960"/>
      <c r="H104" s="1960"/>
    </row>
    <row r="105" spans="1:8" s="1708" customFormat="1" x14ac:dyDescent="0.25">
      <c r="A105" s="1858"/>
      <c r="F105" s="1960"/>
      <c r="G105" s="1960"/>
      <c r="H105" s="1960"/>
    </row>
  </sheetData>
  <sheetProtection password="E593" sheet="1" objects="1" scenarios="1"/>
  <customSheetViews>
    <customSheetView guid="{B63065A1-7838-417A-8679-08A8A2B79CD8}" scale="85" showPageBreaks="1" showGridLines="0" fitToPage="1" printArea="1">
      <selection activeCell="N67" sqref="N67"/>
      <pageMargins left="0.5" right="0.5" top="0.75" bottom="1" header="0.5" footer="0.5"/>
      <pageSetup scale="62" orientation="portrait" blackAndWhite="1" r:id="rId1"/>
      <headerFooter alignWithMargins="0"/>
    </customSheetView>
  </customSheetViews>
  <mergeCells count="6">
    <mergeCell ref="L7:M9"/>
    <mergeCell ref="C51:G51"/>
    <mergeCell ref="C2:H2"/>
    <mergeCell ref="C3:H3"/>
    <mergeCell ref="C4:H4"/>
    <mergeCell ref="C38:E39"/>
  </mergeCells>
  <dataValidations count="1">
    <dataValidation allowBlank="1" showInputMessage="1" showErrorMessage="1" prompt="Please explain the amount entered for Step II in the Notes, Attachment 20." sqref="G30"/>
  </dataValidations>
  <pageMargins left="0.5" right="0.5" top="0.75" bottom="1" header="0.5" footer="0.5"/>
  <pageSetup scale="62"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8673" r:id="rId5" name="Button 1">
              <controlPr defaultSize="0" print="0" autoFill="0" autoPict="0" macro="[0]!BackMain">
                <anchor moveWithCells="1" sizeWithCells="1">
                  <from>
                    <xdr:col>8</xdr:col>
                    <xdr:colOff>7620</xdr:colOff>
                    <xdr:row>58</xdr:row>
                    <xdr:rowOff>114300</xdr:rowOff>
                  </from>
                  <to>
                    <xdr:col>10</xdr:col>
                    <xdr:colOff>22860</xdr:colOff>
                    <xdr:row>61</xdr:row>
                    <xdr:rowOff>7620</xdr:rowOff>
                  </to>
                </anchor>
              </controlPr>
            </control>
          </mc:Choice>
        </mc:AlternateContent>
        <mc:AlternateContent xmlns:mc="http://schemas.openxmlformats.org/markup-compatibility/2006">
          <mc:Choice Requires="x14">
            <control shapeId="28674" r:id="rId6" name="Button 2">
              <controlPr defaultSize="0" print="0" autoFill="0" autoPict="0" macro="[0]!BackMain">
                <anchor moveWithCells="1" sizeWithCells="1">
                  <from>
                    <xdr:col>1</xdr:col>
                    <xdr:colOff>0</xdr:colOff>
                    <xdr:row>0</xdr:row>
                    <xdr:rowOff>53340</xdr:rowOff>
                  </from>
                  <to>
                    <xdr:col>1</xdr:col>
                    <xdr:colOff>853440</xdr:colOff>
                    <xdr:row>0</xdr:row>
                    <xdr:rowOff>449580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N58"/>
  <sheetViews>
    <sheetView showGridLines="0" zoomScaleNormal="100" workbookViewId="0">
      <selection activeCell="A272" sqref="A272"/>
    </sheetView>
  </sheetViews>
  <sheetFormatPr defaultColWidth="9.109375" defaultRowHeight="13.2" x14ac:dyDescent="0.25"/>
  <cols>
    <col min="1" max="1" width="7" style="15" customWidth="1"/>
    <col min="2" max="2" width="4.33203125" style="15" customWidth="1"/>
    <col min="3" max="3" width="12.6640625" style="15" customWidth="1"/>
    <col min="4" max="4" width="14.33203125" style="15" customWidth="1"/>
    <col min="5" max="6" width="13.33203125" style="15" customWidth="1"/>
    <col min="7" max="7" width="13.6640625" style="15" customWidth="1"/>
    <col min="8" max="8" width="13.109375" style="15" customWidth="1"/>
    <col min="9" max="9" width="14" style="15" customWidth="1"/>
    <col min="10" max="10" width="13.33203125" style="15" customWidth="1"/>
    <col min="11" max="11" width="13.6640625" style="15" customWidth="1"/>
    <col min="12" max="12" width="14.109375" style="15" customWidth="1"/>
    <col min="13" max="13" width="3.6640625" style="15" customWidth="1"/>
    <col min="14" max="14" width="9.33203125" style="15" customWidth="1"/>
    <col min="15" max="16384" width="9.109375" style="15"/>
  </cols>
  <sheetData>
    <row r="1" spans="1:14" s="28" customFormat="1" x14ac:dyDescent="0.25">
      <c r="A1" s="466"/>
      <c r="B1" s="1128" t="str">
        <f>TestYear &amp; " Test Year"</f>
        <v>2023 Test Year</v>
      </c>
      <c r="C1" s="1128"/>
      <c r="D1" s="469"/>
      <c r="E1" s="469"/>
      <c r="F1" s="469"/>
      <c r="G1" s="469"/>
      <c r="H1" s="469"/>
      <c r="I1" s="469"/>
      <c r="J1" s="469"/>
      <c r="K1" s="469"/>
      <c r="L1" s="78"/>
      <c r="M1" s="470" t="s">
        <v>733</v>
      </c>
      <c r="N1" s="78"/>
    </row>
    <row r="2" spans="1:14" s="28" customFormat="1" x14ac:dyDescent="0.25">
      <c r="A2" s="466"/>
      <c r="B2" s="466"/>
      <c r="C2" s="2463" t="s">
        <v>734</v>
      </c>
      <c r="D2" s="2446"/>
      <c r="E2" s="2446"/>
      <c r="F2" s="2446"/>
      <c r="G2" s="2446"/>
      <c r="H2" s="2446"/>
      <c r="I2" s="2446"/>
      <c r="J2" s="2446"/>
      <c r="K2" s="2446"/>
      <c r="L2" s="2446"/>
      <c r="M2" s="78"/>
      <c r="N2" s="78"/>
    </row>
    <row r="3" spans="1:14" s="28" customFormat="1" x14ac:dyDescent="0.25">
      <c r="A3" s="466"/>
      <c r="B3" s="466"/>
      <c r="C3" s="2489" t="s">
        <v>696</v>
      </c>
      <c r="D3" s="2446"/>
      <c r="E3" s="2446"/>
      <c r="F3" s="2446"/>
      <c r="G3" s="2446"/>
      <c r="H3" s="2446"/>
      <c r="I3" s="2446"/>
      <c r="J3" s="2446"/>
      <c r="K3" s="2446"/>
      <c r="L3" s="2446"/>
      <c r="M3" s="78"/>
      <c r="N3" s="78"/>
    </row>
    <row r="4" spans="1:14" s="28" customFormat="1" x14ac:dyDescent="0.25">
      <c r="A4" s="466"/>
      <c r="B4" s="466"/>
      <c r="C4" s="2875" t="str">
        <f>CONCATENATE("Test Year ",TestYear)</f>
        <v>Test Year 2023</v>
      </c>
      <c r="D4" s="2876"/>
      <c r="E4" s="2876"/>
      <c r="F4" s="2876"/>
      <c r="G4" s="2876"/>
      <c r="H4" s="2876"/>
      <c r="I4" s="2876"/>
      <c r="J4" s="2876"/>
      <c r="K4" s="2446"/>
      <c r="L4" s="2446"/>
      <c r="M4" s="78"/>
      <c r="N4" s="78"/>
    </row>
    <row r="5" spans="1:14" s="28" customFormat="1" ht="13.8" thickBot="1" x14ac:dyDescent="0.3">
      <c r="A5" s="466"/>
      <c r="B5" s="466"/>
      <c r="C5" s="2861" t="s">
        <v>699</v>
      </c>
      <c r="D5" s="2862"/>
      <c r="E5" s="2862"/>
      <c r="F5" s="2862"/>
      <c r="G5" s="2862"/>
      <c r="H5" s="2862"/>
      <c r="I5" s="2446"/>
      <c r="J5" s="2446"/>
      <c r="K5" s="2446"/>
      <c r="L5" s="2446"/>
      <c r="M5" s="78"/>
      <c r="N5" s="78"/>
    </row>
    <row r="6" spans="1:14" ht="13.8" thickTop="1" x14ac:dyDescent="0.25">
      <c r="A6" s="466"/>
      <c r="B6" s="1323"/>
      <c r="C6" s="2151" t="s">
        <v>1304</v>
      </c>
      <c r="D6" s="528"/>
      <c r="E6" s="528"/>
      <c r="F6" s="528"/>
      <c r="G6" s="528"/>
      <c r="H6" s="528"/>
      <c r="I6" s="528"/>
      <c r="J6" s="528"/>
      <c r="K6" s="495"/>
      <c r="L6" s="333"/>
      <c r="M6" s="335"/>
      <c r="N6" s="299"/>
    </row>
    <row r="7" spans="1:14" x14ac:dyDescent="0.25">
      <c r="A7" s="466"/>
      <c r="B7" s="1324"/>
      <c r="C7" s="2095" t="s">
        <v>1305</v>
      </c>
      <c r="D7" s="526"/>
      <c r="E7" s="526"/>
      <c r="F7" s="526"/>
      <c r="G7" s="526"/>
      <c r="H7" s="526"/>
      <c r="I7" s="526"/>
      <c r="J7" s="526"/>
      <c r="K7" s="477"/>
      <c r="L7" s="325"/>
      <c r="M7" s="336"/>
      <c r="N7" s="299"/>
    </row>
    <row r="8" spans="1:14" x14ac:dyDescent="0.25">
      <c r="A8" s="466"/>
      <c r="B8" s="1324"/>
      <c r="C8" s="2095" t="s">
        <v>1306</v>
      </c>
      <c r="D8" s="526"/>
      <c r="E8" s="526"/>
      <c r="F8" s="526"/>
      <c r="G8" s="526"/>
      <c r="H8" s="526"/>
      <c r="I8" s="526"/>
      <c r="J8" s="526"/>
      <c r="K8" s="477"/>
      <c r="L8" s="325"/>
      <c r="M8" s="336"/>
      <c r="N8" s="299"/>
    </row>
    <row r="9" spans="1:14" x14ac:dyDescent="0.25">
      <c r="A9" s="466"/>
      <c r="B9" s="1324"/>
      <c r="C9" s="477"/>
      <c r="D9" s="526"/>
      <c r="E9" s="526"/>
      <c r="F9" s="526"/>
      <c r="G9" s="526"/>
      <c r="H9" s="526"/>
      <c r="I9" s="526"/>
      <c r="J9" s="526"/>
      <c r="K9" s="477"/>
      <c r="L9" s="325"/>
      <c r="M9" s="336"/>
      <c r="N9" s="299"/>
    </row>
    <row r="10" spans="1:14" x14ac:dyDescent="0.25">
      <c r="A10" s="466"/>
      <c r="B10" s="1324"/>
      <c r="C10" s="2873" t="s">
        <v>735</v>
      </c>
      <c r="D10" s="2874"/>
      <c r="E10" s="2874"/>
      <c r="F10" s="2874"/>
      <c r="G10" s="2874"/>
      <c r="H10" s="2874"/>
      <c r="I10" s="2877"/>
      <c r="J10" s="2878"/>
      <c r="K10" s="2878"/>
      <c r="L10" s="2878"/>
      <c r="M10" s="336"/>
      <c r="N10" s="299"/>
    </row>
    <row r="11" spans="1:14" ht="13.8" thickBot="1" x14ac:dyDescent="0.3">
      <c r="A11" s="466"/>
      <c r="B11" s="1324"/>
      <c r="C11" s="1195"/>
      <c r="D11" s="1195"/>
      <c r="E11" s="1195"/>
      <c r="F11" s="1195"/>
      <c r="G11" s="1195"/>
      <c r="H11" s="1195"/>
      <c r="I11" s="1195"/>
      <c r="J11" s="1195"/>
      <c r="K11" s="1195"/>
      <c r="L11" s="1195"/>
      <c r="M11" s="336"/>
      <c r="N11" s="299"/>
    </row>
    <row r="12" spans="1:14" x14ac:dyDescent="0.25">
      <c r="A12" s="466"/>
      <c r="B12" s="1324"/>
      <c r="C12" s="2842" t="s">
        <v>736</v>
      </c>
      <c r="D12" s="2315"/>
      <c r="E12" s="2315"/>
      <c r="F12" s="2315"/>
      <c r="G12" s="2315"/>
      <c r="H12" s="2315"/>
      <c r="I12" s="2315"/>
      <c r="J12" s="2315"/>
      <c r="K12" s="2315"/>
      <c r="L12" s="2315"/>
      <c r="M12" s="336"/>
      <c r="N12" s="299"/>
    </row>
    <row r="13" spans="1:14" x14ac:dyDescent="0.25">
      <c r="A13" s="466"/>
      <c r="B13" s="1324"/>
      <c r="C13" s="2863"/>
      <c r="D13" s="2864"/>
      <c r="E13" s="2864"/>
      <c r="F13" s="2864"/>
      <c r="G13" s="2864"/>
      <c r="H13" s="2864"/>
      <c r="I13" s="2864"/>
      <c r="J13" s="2864"/>
      <c r="K13" s="2864"/>
      <c r="L13" s="2865"/>
      <c r="M13" s="336"/>
      <c r="N13" s="299"/>
    </row>
    <row r="14" spans="1:14" x14ac:dyDescent="0.25">
      <c r="A14" s="466"/>
      <c r="B14" s="1324"/>
      <c r="C14" s="2866"/>
      <c r="D14" s="2867"/>
      <c r="E14" s="2867"/>
      <c r="F14" s="2867"/>
      <c r="G14" s="2867"/>
      <c r="H14" s="2867"/>
      <c r="I14" s="2867"/>
      <c r="J14" s="2867"/>
      <c r="K14" s="2867"/>
      <c r="L14" s="2868"/>
      <c r="M14" s="336"/>
      <c r="N14" s="299"/>
    </row>
    <row r="15" spans="1:14" x14ac:dyDescent="0.25">
      <c r="A15" s="466"/>
      <c r="B15" s="1324"/>
      <c r="C15" s="2866"/>
      <c r="D15" s="2867"/>
      <c r="E15" s="2867"/>
      <c r="F15" s="2867"/>
      <c r="G15" s="2867"/>
      <c r="H15" s="2867"/>
      <c r="I15" s="2867"/>
      <c r="J15" s="2867"/>
      <c r="K15" s="2867"/>
      <c r="L15" s="2868"/>
      <c r="M15" s="336"/>
      <c r="N15" s="299"/>
    </row>
    <row r="16" spans="1:14" x14ac:dyDescent="0.25">
      <c r="A16" s="466"/>
      <c r="B16" s="1324"/>
      <c r="C16" s="2866"/>
      <c r="D16" s="2867"/>
      <c r="E16" s="2867"/>
      <c r="F16" s="2867"/>
      <c r="G16" s="2867"/>
      <c r="H16" s="2867"/>
      <c r="I16" s="2867"/>
      <c r="J16" s="2867"/>
      <c r="K16" s="2867"/>
      <c r="L16" s="2868"/>
      <c r="M16" s="336"/>
      <c r="N16" s="299"/>
    </row>
    <row r="17" spans="1:14" x14ac:dyDescent="0.25">
      <c r="A17" s="466"/>
      <c r="B17" s="1324"/>
      <c r="C17" s="2866"/>
      <c r="D17" s="2867"/>
      <c r="E17" s="2867"/>
      <c r="F17" s="2867"/>
      <c r="G17" s="2867"/>
      <c r="H17" s="2867"/>
      <c r="I17" s="2867"/>
      <c r="J17" s="2867"/>
      <c r="K17" s="2867"/>
      <c r="L17" s="2868"/>
      <c r="M17" s="336"/>
      <c r="N17" s="299"/>
    </row>
    <row r="18" spans="1:14" x14ac:dyDescent="0.25">
      <c r="A18" s="466"/>
      <c r="B18" s="1324"/>
      <c r="C18" s="2869"/>
      <c r="D18" s="2870"/>
      <c r="E18" s="2870"/>
      <c r="F18" s="2870"/>
      <c r="G18" s="2870"/>
      <c r="H18" s="2870"/>
      <c r="I18" s="2870"/>
      <c r="J18" s="2870"/>
      <c r="K18" s="2870"/>
      <c r="L18" s="2871"/>
      <c r="M18" s="336"/>
      <c r="N18" s="299"/>
    </row>
    <row r="19" spans="1:14" ht="13.8" thickBot="1" x14ac:dyDescent="0.3">
      <c r="A19" s="466"/>
      <c r="B19" s="1324"/>
      <c r="C19" s="1195"/>
      <c r="D19" s="1195"/>
      <c r="E19" s="1195"/>
      <c r="F19" s="1195"/>
      <c r="G19" s="1195"/>
      <c r="H19" s="1195"/>
      <c r="I19" s="1195"/>
      <c r="J19" s="1195"/>
      <c r="K19" s="1195"/>
      <c r="L19" s="1195"/>
      <c r="M19" s="336"/>
      <c r="N19" s="299"/>
    </row>
    <row r="20" spans="1:14" x14ac:dyDescent="0.25">
      <c r="A20" s="466"/>
      <c r="B20" s="1324"/>
      <c r="C20" s="2842" t="s">
        <v>737</v>
      </c>
      <c r="D20" s="2315"/>
      <c r="E20" s="2315"/>
      <c r="F20" s="2315"/>
      <c r="G20" s="2315"/>
      <c r="H20" s="2315"/>
      <c r="I20" s="2315"/>
      <c r="J20" s="2315"/>
      <c r="K20" s="2315"/>
      <c r="L20" s="2315"/>
      <c r="M20" s="336"/>
      <c r="N20" s="299"/>
    </row>
    <row r="21" spans="1:14" x14ac:dyDescent="0.25">
      <c r="A21" s="466"/>
      <c r="B21" s="1324"/>
      <c r="C21" s="2872"/>
      <c r="D21" s="2864"/>
      <c r="E21" s="2864"/>
      <c r="F21" s="2864"/>
      <c r="G21" s="2864"/>
      <c r="H21" s="2864"/>
      <c r="I21" s="2864"/>
      <c r="J21" s="2864"/>
      <c r="K21" s="2864"/>
      <c r="L21" s="2865"/>
      <c r="M21" s="336"/>
      <c r="N21" s="299"/>
    </row>
    <row r="22" spans="1:14" x14ac:dyDescent="0.25">
      <c r="A22" s="466"/>
      <c r="B22" s="1324"/>
      <c r="C22" s="2866"/>
      <c r="D22" s="2867"/>
      <c r="E22" s="2867"/>
      <c r="F22" s="2867"/>
      <c r="G22" s="2867"/>
      <c r="H22" s="2867"/>
      <c r="I22" s="2867"/>
      <c r="J22" s="2867"/>
      <c r="K22" s="2867"/>
      <c r="L22" s="2868"/>
      <c r="M22" s="336"/>
      <c r="N22" s="299"/>
    </row>
    <row r="23" spans="1:14" x14ac:dyDescent="0.25">
      <c r="A23" s="466"/>
      <c r="B23" s="1324"/>
      <c r="C23" s="2866"/>
      <c r="D23" s="2867"/>
      <c r="E23" s="2867"/>
      <c r="F23" s="2867"/>
      <c r="G23" s="2867"/>
      <c r="H23" s="2867"/>
      <c r="I23" s="2867"/>
      <c r="J23" s="2867"/>
      <c r="K23" s="2867"/>
      <c r="L23" s="2868"/>
      <c r="M23" s="336"/>
      <c r="N23" s="299"/>
    </row>
    <row r="24" spans="1:14" x14ac:dyDescent="0.25">
      <c r="A24" s="466"/>
      <c r="B24" s="1324"/>
      <c r="C24" s="2866"/>
      <c r="D24" s="2867"/>
      <c r="E24" s="2867"/>
      <c r="F24" s="2867"/>
      <c r="G24" s="2867"/>
      <c r="H24" s="2867"/>
      <c r="I24" s="2867"/>
      <c r="J24" s="2867"/>
      <c r="K24" s="2867"/>
      <c r="L24" s="2868"/>
      <c r="M24" s="336"/>
      <c r="N24" s="299"/>
    </row>
    <row r="25" spans="1:14" x14ac:dyDescent="0.25">
      <c r="A25" s="466"/>
      <c r="B25" s="1324"/>
      <c r="C25" s="2866"/>
      <c r="D25" s="2867"/>
      <c r="E25" s="2867"/>
      <c r="F25" s="2867"/>
      <c r="G25" s="2867"/>
      <c r="H25" s="2867"/>
      <c r="I25" s="2867"/>
      <c r="J25" s="2867"/>
      <c r="K25" s="2867"/>
      <c r="L25" s="2868"/>
      <c r="M25" s="336"/>
      <c r="N25" s="299"/>
    </row>
    <row r="26" spans="1:14" x14ac:dyDescent="0.25">
      <c r="A26" s="466"/>
      <c r="B26" s="1324"/>
      <c r="C26" s="2866"/>
      <c r="D26" s="2867"/>
      <c r="E26" s="2867"/>
      <c r="F26" s="2867"/>
      <c r="G26" s="2867"/>
      <c r="H26" s="2867"/>
      <c r="I26" s="2867"/>
      <c r="J26" s="2867"/>
      <c r="K26" s="2867"/>
      <c r="L26" s="2868"/>
      <c r="M26" s="336"/>
      <c r="N26" s="299"/>
    </row>
    <row r="27" spans="1:14" x14ac:dyDescent="0.25">
      <c r="A27" s="466"/>
      <c r="B27" s="1324"/>
      <c r="C27" s="2866"/>
      <c r="D27" s="2867"/>
      <c r="E27" s="2867"/>
      <c r="F27" s="2867"/>
      <c r="G27" s="2867"/>
      <c r="H27" s="2867"/>
      <c r="I27" s="2867"/>
      <c r="J27" s="2867"/>
      <c r="K27" s="2867"/>
      <c r="L27" s="2868"/>
      <c r="M27" s="336"/>
      <c r="N27" s="299"/>
    </row>
    <row r="28" spans="1:14" x14ac:dyDescent="0.25">
      <c r="A28" s="466"/>
      <c r="B28" s="1324"/>
      <c r="C28" s="2866"/>
      <c r="D28" s="2867"/>
      <c r="E28" s="2867"/>
      <c r="F28" s="2867"/>
      <c r="G28" s="2867"/>
      <c r="H28" s="2867"/>
      <c r="I28" s="2867"/>
      <c r="J28" s="2867"/>
      <c r="K28" s="2867"/>
      <c r="L28" s="2868"/>
      <c r="M28" s="336"/>
      <c r="N28" s="299"/>
    </row>
    <row r="29" spans="1:14" x14ac:dyDescent="0.25">
      <c r="A29" s="466"/>
      <c r="B29" s="1324"/>
      <c r="C29" s="2866"/>
      <c r="D29" s="2867"/>
      <c r="E29" s="2867"/>
      <c r="F29" s="2867"/>
      <c r="G29" s="2867"/>
      <c r="H29" s="2867"/>
      <c r="I29" s="2867"/>
      <c r="J29" s="2867"/>
      <c r="K29" s="2867"/>
      <c r="L29" s="2868"/>
      <c r="M29" s="336"/>
      <c r="N29" s="299"/>
    </row>
    <row r="30" spans="1:14" x14ac:dyDescent="0.25">
      <c r="A30" s="466"/>
      <c r="B30" s="1324"/>
      <c r="C30" s="2866"/>
      <c r="D30" s="2867"/>
      <c r="E30" s="2867"/>
      <c r="F30" s="2867"/>
      <c r="G30" s="2867"/>
      <c r="H30" s="2867"/>
      <c r="I30" s="2867"/>
      <c r="J30" s="2867"/>
      <c r="K30" s="2867"/>
      <c r="L30" s="2868"/>
      <c r="M30" s="336"/>
      <c r="N30" s="299"/>
    </row>
    <row r="31" spans="1:14" x14ac:dyDescent="0.25">
      <c r="A31" s="466"/>
      <c r="B31" s="1324"/>
      <c r="C31" s="2866"/>
      <c r="D31" s="2867"/>
      <c r="E31" s="2867"/>
      <c r="F31" s="2867"/>
      <c r="G31" s="2867"/>
      <c r="H31" s="2867"/>
      <c r="I31" s="2867"/>
      <c r="J31" s="2867"/>
      <c r="K31" s="2867"/>
      <c r="L31" s="2868"/>
      <c r="M31" s="336"/>
      <c r="N31" s="299"/>
    </row>
    <row r="32" spans="1:14" x14ac:dyDescent="0.25">
      <c r="A32" s="466"/>
      <c r="B32" s="1324"/>
      <c r="C32" s="2866"/>
      <c r="D32" s="2867"/>
      <c r="E32" s="2867"/>
      <c r="F32" s="2867"/>
      <c r="G32" s="2867"/>
      <c r="H32" s="2867"/>
      <c r="I32" s="2867"/>
      <c r="J32" s="2867"/>
      <c r="K32" s="2867"/>
      <c r="L32" s="2868"/>
      <c r="M32" s="336"/>
      <c r="N32" s="299"/>
    </row>
    <row r="33" spans="1:14" x14ac:dyDescent="0.25">
      <c r="A33" s="466"/>
      <c r="B33" s="1324"/>
      <c r="C33" s="2866"/>
      <c r="D33" s="2867"/>
      <c r="E33" s="2867"/>
      <c r="F33" s="2867"/>
      <c r="G33" s="2867"/>
      <c r="H33" s="2867"/>
      <c r="I33" s="2867"/>
      <c r="J33" s="2867"/>
      <c r="K33" s="2867"/>
      <c r="L33" s="2868"/>
      <c r="M33" s="336"/>
      <c r="N33" s="299"/>
    </row>
    <row r="34" spans="1:14" x14ac:dyDescent="0.25">
      <c r="A34" s="466"/>
      <c r="B34" s="1324"/>
      <c r="C34" s="2866"/>
      <c r="D34" s="2867"/>
      <c r="E34" s="2867"/>
      <c r="F34" s="2867"/>
      <c r="G34" s="2867"/>
      <c r="H34" s="2867"/>
      <c r="I34" s="2867"/>
      <c r="J34" s="2867"/>
      <c r="K34" s="2867"/>
      <c r="L34" s="2868"/>
      <c r="M34" s="336"/>
      <c r="N34" s="299"/>
    </row>
    <row r="35" spans="1:14" x14ac:dyDescent="0.25">
      <c r="A35" s="466"/>
      <c r="B35" s="1324"/>
      <c r="C35" s="2866"/>
      <c r="D35" s="2867"/>
      <c r="E35" s="2867"/>
      <c r="F35" s="2867"/>
      <c r="G35" s="2867"/>
      <c r="H35" s="2867"/>
      <c r="I35" s="2867"/>
      <c r="J35" s="2867"/>
      <c r="K35" s="2867"/>
      <c r="L35" s="2868"/>
      <c r="M35" s="336"/>
      <c r="N35" s="299"/>
    </row>
    <row r="36" spans="1:14" x14ac:dyDescent="0.25">
      <c r="A36" s="466"/>
      <c r="B36" s="1324"/>
      <c r="C36" s="2866"/>
      <c r="D36" s="2867"/>
      <c r="E36" s="2867"/>
      <c r="F36" s="2867"/>
      <c r="G36" s="2867"/>
      <c r="H36" s="2867"/>
      <c r="I36" s="2867"/>
      <c r="J36" s="2867"/>
      <c r="K36" s="2867"/>
      <c r="L36" s="2868"/>
      <c r="M36" s="336"/>
      <c r="N36" s="299"/>
    </row>
    <row r="37" spans="1:14" x14ac:dyDescent="0.25">
      <c r="A37" s="466"/>
      <c r="B37" s="1324"/>
      <c r="C37" s="2866"/>
      <c r="D37" s="2867"/>
      <c r="E37" s="2867"/>
      <c r="F37" s="2867"/>
      <c r="G37" s="2867"/>
      <c r="H37" s="2867"/>
      <c r="I37" s="2867"/>
      <c r="J37" s="2867"/>
      <c r="K37" s="2867"/>
      <c r="L37" s="2868"/>
      <c r="M37" s="336"/>
      <c r="N37" s="299"/>
    </row>
    <row r="38" spans="1:14" x14ac:dyDescent="0.25">
      <c r="A38" s="466"/>
      <c r="B38" s="1324"/>
      <c r="C38" s="2866"/>
      <c r="D38" s="2867"/>
      <c r="E38" s="2867"/>
      <c r="F38" s="2867"/>
      <c r="G38" s="2867"/>
      <c r="H38" s="2867"/>
      <c r="I38" s="2867"/>
      <c r="J38" s="2867"/>
      <c r="K38" s="2867"/>
      <c r="L38" s="2868"/>
      <c r="M38" s="336"/>
      <c r="N38" s="299"/>
    </row>
    <row r="39" spans="1:14" x14ac:dyDescent="0.25">
      <c r="A39" s="466"/>
      <c r="B39" s="1324"/>
      <c r="C39" s="2866"/>
      <c r="D39" s="2867"/>
      <c r="E39" s="2867"/>
      <c r="F39" s="2867"/>
      <c r="G39" s="2867"/>
      <c r="H39" s="2867"/>
      <c r="I39" s="2867"/>
      <c r="J39" s="2867"/>
      <c r="K39" s="2867"/>
      <c r="L39" s="2868"/>
      <c r="M39" s="336"/>
      <c r="N39" s="299"/>
    </row>
    <row r="40" spans="1:14" x14ac:dyDescent="0.25">
      <c r="A40" s="466"/>
      <c r="B40" s="1324"/>
      <c r="C40" s="2866"/>
      <c r="D40" s="2867"/>
      <c r="E40" s="2867"/>
      <c r="F40" s="2867"/>
      <c r="G40" s="2867"/>
      <c r="H40" s="2867"/>
      <c r="I40" s="2867"/>
      <c r="J40" s="2867"/>
      <c r="K40" s="2867"/>
      <c r="L40" s="2868"/>
      <c r="M40" s="336"/>
      <c r="N40" s="299"/>
    </row>
    <row r="41" spans="1:14" x14ac:dyDescent="0.25">
      <c r="A41" s="466"/>
      <c r="B41" s="1324"/>
      <c r="C41" s="2869"/>
      <c r="D41" s="2870"/>
      <c r="E41" s="2870"/>
      <c r="F41" s="2870"/>
      <c r="G41" s="2870"/>
      <c r="H41" s="2870"/>
      <c r="I41" s="2870"/>
      <c r="J41" s="2870"/>
      <c r="K41" s="2870"/>
      <c r="L41" s="2871"/>
      <c r="M41" s="336"/>
      <c r="N41" s="299"/>
    </row>
    <row r="42" spans="1:14" x14ac:dyDescent="0.25">
      <c r="A42" s="466"/>
      <c r="B42" s="1324"/>
      <c r="C42" s="348"/>
      <c r="D42" s="348"/>
      <c r="E42" s="348"/>
      <c r="F42" s="348"/>
      <c r="G42" s="348"/>
      <c r="H42" s="348"/>
      <c r="I42" s="348"/>
      <c r="J42" s="348"/>
      <c r="K42" s="348"/>
      <c r="L42" s="348"/>
      <c r="M42" s="336"/>
      <c r="N42" s="299"/>
    </row>
    <row r="43" spans="1:14" x14ac:dyDescent="0.25">
      <c r="A43" s="466"/>
      <c r="B43" s="1324"/>
      <c r="C43" s="348"/>
      <c r="D43" s="348"/>
      <c r="E43" s="348"/>
      <c r="F43" s="348"/>
      <c r="G43" s="348"/>
      <c r="H43" s="348"/>
      <c r="I43" s="348"/>
      <c r="J43" s="348"/>
      <c r="K43" s="348"/>
      <c r="L43" s="348"/>
      <c r="M43" s="336"/>
      <c r="N43" s="299"/>
    </row>
    <row r="44" spans="1:14" ht="13.8" thickBot="1" x14ac:dyDescent="0.3">
      <c r="A44" s="466"/>
      <c r="B44" s="1325"/>
      <c r="C44" s="377"/>
      <c r="D44" s="377"/>
      <c r="E44" s="377"/>
      <c r="F44" s="377"/>
      <c r="G44" s="377"/>
      <c r="H44" s="377"/>
      <c r="I44" s="377"/>
      <c r="J44" s="377"/>
      <c r="K44" s="377"/>
      <c r="L44" s="377"/>
      <c r="M44" s="343"/>
      <c r="N44" s="299"/>
    </row>
    <row r="45" spans="1:14" ht="13.8" thickTop="1" x14ac:dyDescent="0.25">
      <c r="A45" s="466"/>
      <c r="B45" s="466"/>
      <c r="C45" s="299"/>
      <c r="D45" s="299"/>
      <c r="E45" s="299"/>
      <c r="F45" s="299"/>
      <c r="G45" s="299"/>
      <c r="H45" s="299"/>
      <c r="I45" s="299"/>
      <c r="J45" s="299"/>
      <c r="K45" s="299"/>
      <c r="L45" s="299"/>
      <c r="M45" s="299"/>
      <c r="N45" s="299"/>
    </row>
    <row r="46" spans="1:14" x14ac:dyDescent="0.25">
      <c r="A46" s="466"/>
      <c r="B46" s="466"/>
      <c r="C46" s="299"/>
      <c r="D46" s="299"/>
      <c r="E46" s="299"/>
      <c r="F46" s="299"/>
      <c r="G46" s="299"/>
      <c r="H46" s="299"/>
      <c r="I46" s="299"/>
      <c r="J46" s="299"/>
      <c r="K46" s="299"/>
      <c r="L46" s="299"/>
      <c r="M46" s="299"/>
      <c r="N46" s="299"/>
    </row>
    <row r="47" spans="1:14" s="17" customFormat="1" x14ac:dyDescent="0.25">
      <c r="A47" s="1961"/>
      <c r="B47" s="1961"/>
    </row>
    <row r="48" spans="1:14" s="17" customFormat="1" x14ac:dyDescent="0.25">
      <c r="A48" s="1961"/>
      <c r="B48" s="1961"/>
    </row>
    <row r="49" spans="1:12" s="17" customFormat="1" x14ac:dyDescent="0.25">
      <c r="A49" s="1961"/>
      <c r="B49" s="1961"/>
    </row>
    <row r="50" spans="1:12" s="17" customFormat="1" x14ac:dyDescent="0.25">
      <c r="A50" s="1961"/>
      <c r="B50" s="1961"/>
      <c r="C50" s="1961"/>
      <c r="D50" s="1961"/>
      <c r="E50" s="1961"/>
      <c r="F50" s="1961"/>
      <c r="G50" s="1961"/>
      <c r="H50" s="1961"/>
      <c r="I50" s="1961"/>
      <c r="J50" s="1961"/>
      <c r="K50" s="1961"/>
      <c r="L50" s="1961"/>
    </row>
    <row r="51" spans="1:12" s="17" customFormat="1" x14ac:dyDescent="0.25"/>
    <row r="52" spans="1:12" s="17" customFormat="1" x14ac:dyDescent="0.25"/>
    <row r="53" spans="1:12" s="17" customFormat="1" x14ac:dyDescent="0.25"/>
    <row r="54" spans="1:12" s="17" customFormat="1" x14ac:dyDescent="0.25"/>
    <row r="55" spans="1:12" s="17" customFormat="1" x14ac:dyDescent="0.25"/>
    <row r="56" spans="1:12" s="17" customFormat="1" x14ac:dyDescent="0.25"/>
    <row r="57" spans="1:12" s="17" customFormat="1" x14ac:dyDescent="0.25"/>
    <row r="58" spans="1:12" s="17" customFormat="1" x14ac:dyDescent="0.25"/>
  </sheetData>
  <sheetProtection password="E593" sheet="1" objects="1" scenarios="1"/>
  <customSheetViews>
    <customSheetView guid="{B63065A1-7838-417A-8679-08A8A2B79CD8}" scale="85" showPageBreaks="1" showGridLines="0" fitToPage="1" printArea="1">
      <selection activeCell="N67" sqref="N67"/>
      <pageMargins left="0.75" right="0.75" top="1" bottom="1" header="0.5" footer="0.5"/>
      <pageSetup scale="77" orientation="landscape" blackAndWhite="1" r:id="rId1"/>
      <headerFooter alignWithMargins="0"/>
    </customSheetView>
  </customSheetViews>
  <mergeCells count="10">
    <mergeCell ref="C13:L18"/>
    <mergeCell ref="C20:L20"/>
    <mergeCell ref="C21:L41"/>
    <mergeCell ref="C10:H10"/>
    <mergeCell ref="C2:L2"/>
    <mergeCell ref="C3:L3"/>
    <mergeCell ref="C4:L4"/>
    <mergeCell ref="C5:L5"/>
    <mergeCell ref="I10:L10"/>
    <mergeCell ref="C12:L12"/>
  </mergeCells>
  <pageMargins left="0.75" right="0.75" top="1" bottom="1" header="0.5" footer="0.5"/>
  <pageSetup scale="75" orientation="landscape"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9697" r:id="rId5" name="Button 1">
              <controlPr defaultSize="0" print="0" autoFill="0" autoPict="0" macro="[0]!BackMain">
                <anchor moveWithCells="1" sizeWithCells="1">
                  <from>
                    <xdr:col>1</xdr:col>
                    <xdr:colOff>7620</xdr:colOff>
                    <xdr:row>1</xdr:row>
                    <xdr:rowOff>121920</xdr:rowOff>
                  </from>
                  <to>
                    <xdr:col>2</xdr:col>
                    <xdr:colOff>556260</xdr:colOff>
                    <xdr:row>4</xdr:row>
                    <xdr:rowOff>45720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EditChecks1"/>
  <dimension ref="A1:U279"/>
  <sheetViews>
    <sheetView showGridLines="0" zoomScaleNormal="100" workbookViewId="0">
      <selection activeCell="D38" sqref="D38"/>
    </sheetView>
  </sheetViews>
  <sheetFormatPr defaultColWidth="9.109375" defaultRowHeight="15.6" x14ac:dyDescent="0.3"/>
  <cols>
    <col min="1" max="1" width="5.6640625" style="8" customWidth="1"/>
    <col min="2" max="2" width="17.33203125" style="8" customWidth="1"/>
    <col min="3" max="3" width="93" style="8" customWidth="1"/>
    <col min="4" max="4" width="10.109375" style="8" customWidth="1"/>
    <col min="5" max="5" width="9.109375" style="8"/>
    <col min="6" max="6" width="14" style="8" customWidth="1"/>
    <col min="7" max="12" width="9.109375" style="8" hidden="1" customWidth="1"/>
    <col min="13" max="13" width="9.109375" style="8" customWidth="1"/>
    <col min="14" max="16384" width="9.109375" style="8"/>
  </cols>
  <sheetData>
    <row r="1" spans="1:6" ht="25.5" customHeight="1" x14ac:dyDescent="0.3">
      <c r="A1" s="73"/>
      <c r="B1" s="73"/>
      <c r="C1" s="73"/>
      <c r="D1" s="7"/>
      <c r="E1" s="74"/>
    </row>
    <row r="2" spans="1:6" ht="29.25" customHeight="1" x14ac:dyDescent="0.3">
      <c r="A2" s="73"/>
      <c r="B2" s="2882" t="s">
        <v>1244</v>
      </c>
      <c r="C2" s="2883"/>
      <c r="D2" s="7"/>
      <c r="E2" s="74"/>
    </row>
    <row r="3" spans="1:6" ht="17.25" customHeight="1" x14ac:dyDescent="0.3">
      <c r="A3" s="73"/>
      <c r="B3" s="2203"/>
      <c r="C3" s="2204"/>
      <c r="D3" s="7"/>
      <c r="E3" s="74"/>
    </row>
    <row r="4" spans="1:6" ht="21.75" customHeight="1" x14ac:dyDescent="0.3">
      <c r="A4" s="73"/>
      <c r="B4" s="2205"/>
      <c r="C4" s="2206"/>
      <c r="D4" s="7"/>
      <c r="E4" s="74"/>
    </row>
    <row r="5" spans="1:6" ht="15.75" customHeight="1" x14ac:dyDescent="0.3">
      <c r="A5" s="73"/>
      <c r="B5" s="2884" t="s">
        <v>880</v>
      </c>
      <c r="C5" s="2886" t="s">
        <v>12</v>
      </c>
      <c r="D5" s="7"/>
      <c r="E5" s="74"/>
    </row>
    <row r="6" spans="1:6" ht="14.25" customHeight="1" thickBot="1" x14ac:dyDescent="0.35">
      <c r="A6" s="73"/>
      <c r="B6" s="2885"/>
      <c r="C6" s="2887"/>
      <c r="D6" s="7"/>
      <c r="E6" s="74"/>
    </row>
    <row r="7" spans="1:6" ht="22.2" customHeight="1" x14ac:dyDescent="0.3">
      <c r="A7" s="2042"/>
      <c r="B7" s="2241"/>
      <c r="C7" s="2214" t="s">
        <v>1200</v>
      </c>
      <c r="D7" s="7"/>
      <c r="E7" s="74"/>
    </row>
    <row r="8" spans="1:6" ht="22.2" customHeight="1" x14ac:dyDescent="0.3">
      <c r="A8" s="2042"/>
      <c r="B8" s="2208"/>
      <c r="C8" s="2212" t="s">
        <v>13</v>
      </c>
      <c r="D8" s="7"/>
      <c r="E8" s="74"/>
    </row>
    <row r="9" spans="1:6" ht="22.2" customHeight="1" x14ac:dyDescent="0.3">
      <c r="A9" s="2042"/>
      <c r="B9" s="2208"/>
      <c r="C9" s="2212" t="s">
        <v>14</v>
      </c>
      <c r="D9" s="7"/>
      <c r="E9" s="74"/>
    </row>
    <row r="10" spans="1:6" ht="22.2" customHeight="1" x14ac:dyDescent="0.3">
      <c r="A10" s="2042"/>
      <c r="B10" s="2208"/>
      <c r="C10" s="2212" t="s">
        <v>958</v>
      </c>
      <c r="D10" s="7"/>
      <c r="E10" s="74"/>
      <c r="F10" s="9"/>
    </row>
    <row r="11" spans="1:6" ht="22.2" customHeight="1" x14ac:dyDescent="0.3">
      <c r="A11" s="2042"/>
      <c r="B11" s="2208"/>
      <c r="C11" s="2212" t="s">
        <v>957</v>
      </c>
      <c r="D11" s="7"/>
      <c r="E11" s="74"/>
      <c r="F11" s="9"/>
    </row>
    <row r="12" spans="1:6" ht="22.2" customHeight="1" x14ac:dyDescent="0.3">
      <c r="A12" s="2042"/>
      <c r="B12" s="2208"/>
      <c r="C12" s="2212" t="s">
        <v>877</v>
      </c>
      <c r="D12" s="7"/>
      <c r="E12" s="74"/>
      <c r="F12" s="9"/>
    </row>
    <row r="13" spans="1:6" ht="22.2" customHeight="1" x14ac:dyDescent="0.3">
      <c r="A13" s="2042"/>
      <c r="B13" s="2208"/>
      <c r="C13" s="2212" t="s">
        <v>878</v>
      </c>
      <c r="D13" s="7"/>
      <c r="E13" s="74"/>
      <c r="F13" s="9"/>
    </row>
    <row r="14" spans="1:6" ht="22.2" hidden="1" customHeight="1" x14ac:dyDescent="0.3">
      <c r="A14" s="2042"/>
      <c r="B14" s="2208"/>
      <c r="C14" s="2212" t="s">
        <v>898</v>
      </c>
      <c r="D14" s="7"/>
      <c r="E14" s="74"/>
      <c r="F14" s="9"/>
    </row>
    <row r="15" spans="1:6" ht="22.2" customHeight="1" x14ac:dyDescent="0.3">
      <c r="A15" s="2042"/>
      <c r="B15" s="2208"/>
      <c r="C15" s="2212" t="s">
        <v>15</v>
      </c>
      <c r="D15" s="7"/>
      <c r="E15" s="74"/>
    </row>
    <row r="16" spans="1:6" ht="22.2" customHeight="1" x14ac:dyDescent="0.3">
      <c r="A16" s="2042"/>
      <c r="B16" s="2208"/>
      <c r="C16" s="2212" t="s">
        <v>16</v>
      </c>
      <c r="D16" s="7"/>
      <c r="E16" s="74"/>
    </row>
    <row r="17" spans="1:21" ht="22.2" customHeight="1" x14ac:dyDescent="0.3">
      <c r="A17" s="2042"/>
      <c r="B17" s="2208"/>
      <c r="C17" s="2212" t="s">
        <v>17</v>
      </c>
      <c r="D17" s="7"/>
      <c r="E17" s="74"/>
      <c r="U17"/>
    </row>
    <row r="18" spans="1:21" ht="22.2" customHeight="1" x14ac:dyDescent="0.3">
      <c r="A18" s="2042"/>
      <c r="B18" s="2207"/>
      <c r="C18" s="2212" t="s">
        <v>18</v>
      </c>
      <c r="D18" s="7"/>
      <c r="E18" s="1908"/>
    </row>
    <row r="19" spans="1:21" ht="22.2" customHeight="1" x14ac:dyDescent="0.3">
      <c r="A19" s="2042"/>
      <c r="B19" s="2208"/>
      <c r="C19" s="2212" t="s">
        <v>19</v>
      </c>
      <c r="D19" s="7"/>
      <c r="E19" s="1332"/>
    </row>
    <row r="20" spans="1:21" ht="22.2" customHeight="1" x14ac:dyDescent="0.3">
      <c r="A20" s="2042"/>
      <c r="B20" s="2209"/>
      <c r="C20" s="2212" t="s">
        <v>20</v>
      </c>
      <c r="D20" s="7"/>
      <c r="E20" s="1332"/>
    </row>
    <row r="21" spans="1:21" ht="22.2" customHeight="1" x14ac:dyDescent="0.3">
      <c r="A21" s="2042"/>
      <c r="B21" s="2207"/>
      <c r="C21" s="2212" t="s">
        <v>993</v>
      </c>
      <c r="D21" s="7"/>
      <c r="E21" s="1342" t="str">
        <f>IF(Class="AB","Attach10_AB!A1",IF(Class="C","Attach10_C!A1","Attach10_D!A1"))</f>
        <v>Attach10_D!A1</v>
      </c>
    </row>
    <row r="22" spans="1:21" ht="22.2" customHeight="1" x14ac:dyDescent="0.3">
      <c r="A22" s="2042"/>
      <c r="B22" s="2207"/>
      <c r="C22" s="2212" t="s">
        <v>21</v>
      </c>
      <c r="D22" s="7"/>
      <c r="E22" s="1342"/>
    </row>
    <row r="23" spans="1:21" ht="21.75" customHeight="1" x14ac:dyDescent="0.3">
      <c r="A23" s="2042"/>
      <c r="B23" s="2207"/>
      <c r="C23" s="2212" t="s">
        <v>22</v>
      </c>
      <c r="D23" s="7"/>
      <c r="E23" s="1332"/>
    </row>
    <row r="24" spans="1:21" ht="21.75" customHeight="1" x14ac:dyDescent="0.3">
      <c r="A24" s="2042"/>
      <c r="B24" s="2208"/>
      <c r="C24" s="2212" t="s">
        <v>23</v>
      </c>
      <c r="D24" s="7"/>
      <c r="E24" s="74"/>
    </row>
    <row r="25" spans="1:21" ht="22.2" customHeight="1" x14ac:dyDescent="0.3">
      <c r="A25" s="2042"/>
      <c r="B25" s="2208"/>
      <c r="C25" s="2213" t="s">
        <v>24</v>
      </c>
      <c r="D25" s="7"/>
      <c r="E25" s="74"/>
    </row>
    <row r="26" spans="1:21" ht="22.2" customHeight="1" x14ac:dyDescent="0.3">
      <c r="A26" s="2042"/>
      <c r="B26" s="2208"/>
      <c r="C26" s="2212" t="s">
        <v>25</v>
      </c>
      <c r="D26" s="7"/>
      <c r="E26" s="74"/>
    </row>
    <row r="27" spans="1:21" ht="22.2" customHeight="1" x14ac:dyDescent="0.3">
      <c r="A27" s="2042"/>
      <c r="B27" s="2208"/>
      <c r="C27" s="2212" t="s">
        <v>26</v>
      </c>
      <c r="D27" s="7"/>
      <c r="E27" s="74"/>
      <c r="I27" s="1341"/>
      <c r="J27" s="1341"/>
    </row>
    <row r="28" spans="1:21" ht="22.2" customHeight="1" x14ac:dyDescent="0.3">
      <c r="A28" s="2042"/>
      <c r="B28" s="2208"/>
      <c r="C28" s="2212" t="s">
        <v>894</v>
      </c>
      <c r="D28" s="7"/>
      <c r="E28" s="74"/>
      <c r="I28" s="1341"/>
      <c r="J28" s="1341"/>
    </row>
    <row r="29" spans="1:21" ht="22.2" customHeight="1" x14ac:dyDescent="0.3">
      <c r="A29" s="2042"/>
      <c r="B29" s="2210"/>
      <c r="C29" s="2212" t="s">
        <v>27</v>
      </c>
      <c r="D29" s="7"/>
      <c r="E29" s="74"/>
      <c r="I29" s="1341"/>
      <c r="J29" s="1341"/>
    </row>
    <row r="30" spans="1:21" ht="22.2" customHeight="1" x14ac:dyDescent="0.3">
      <c r="A30" s="2042"/>
      <c r="B30" s="2208"/>
      <c r="C30" s="2212" t="s">
        <v>897</v>
      </c>
      <c r="D30" s="7"/>
      <c r="E30" s="74"/>
      <c r="I30" s="1341"/>
      <c r="J30" s="1341"/>
    </row>
    <row r="31" spans="1:21" ht="22.2" customHeight="1" x14ac:dyDescent="0.3">
      <c r="A31" s="2042"/>
      <c r="B31" s="2211"/>
      <c r="C31" s="2212" t="s">
        <v>28</v>
      </c>
      <c r="D31" s="7"/>
      <c r="E31" s="74"/>
      <c r="I31" s="1341"/>
      <c r="J31" s="1341"/>
    </row>
    <row r="32" spans="1:21" ht="22.2" hidden="1" customHeight="1" x14ac:dyDescent="0.3">
      <c r="A32" s="1179"/>
      <c r="B32" s="1178"/>
      <c r="C32" s="2202" t="s">
        <v>29</v>
      </c>
      <c r="D32" s="7"/>
      <c r="E32" s="74"/>
    </row>
    <row r="33" spans="1:5" ht="22.2" hidden="1" customHeight="1" x14ac:dyDescent="0.3">
      <c r="A33" s="1179"/>
      <c r="B33" s="1178"/>
      <c r="C33" s="2045" t="s">
        <v>30</v>
      </c>
      <c r="D33" s="7"/>
      <c r="E33" s="1908"/>
    </row>
    <row r="34" spans="1:5" ht="24" hidden="1" customHeight="1" x14ac:dyDescent="0.3">
      <c r="A34" s="1179"/>
      <c r="B34" s="1178"/>
      <c r="C34" s="2045" t="s">
        <v>31</v>
      </c>
      <c r="D34" s="7"/>
      <c r="E34" s="74"/>
    </row>
    <row r="35" spans="1:5" ht="21" customHeight="1" x14ac:dyDescent="0.3">
      <c r="A35" s="73"/>
      <c r="B35" s="73"/>
      <c r="C35" s="73"/>
      <c r="D35" s="7"/>
      <c r="E35" s="74"/>
    </row>
    <row r="36" spans="1:5" x14ac:dyDescent="0.3">
      <c r="A36" s="74"/>
      <c r="B36" s="1327"/>
      <c r="C36" s="74"/>
      <c r="D36" s="74"/>
      <c r="E36" s="74"/>
    </row>
    <row r="37" spans="1:5" x14ac:dyDescent="0.3">
      <c r="A37" s="74"/>
      <c r="B37" s="74"/>
      <c r="C37" s="74"/>
      <c r="D37" s="74"/>
      <c r="E37" s="74"/>
    </row>
    <row r="38" spans="1:5" x14ac:dyDescent="0.3">
      <c r="A38" s="74"/>
      <c r="B38" s="74"/>
      <c r="C38" s="74"/>
      <c r="D38" s="74"/>
      <c r="E38" s="74"/>
    </row>
    <row r="39" spans="1:5" x14ac:dyDescent="0.3">
      <c r="A39" s="74"/>
      <c r="B39" s="74"/>
      <c r="C39" s="74"/>
      <c r="D39" s="74"/>
      <c r="E39" s="74"/>
    </row>
    <row r="40" spans="1:5" x14ac:dyDescent="0.3">
      <c r="A40" s="74"/>
      <c r="B40" s="74"/>
      <c r="C40" s="74"/>
      <c r="D40" s="74"/>
      <c r="E40" s="74"/>
    </row>
    <row r="41" spans="1:5" x14ac:dyDescent="0.3">
      <c r="A41" s="74"/>
      <c r="B41" s="74"/>
      <c r="C41" s="74"/>
      <c r="D41" s="74"/>
      <c r="E41" s="74"/>
    </row>
    <row r="42" spans="1:5" x14ac:dyDescent="0.3">
      <c r="A42" s="74"/>
      <c r="B42" s="74"/>
      <c r="C42" s="74"/>
      <c r="D42" s="74"/>
      <c r="E42" s="74"/>
    </row>
    <row r="43" spans="1:5" x14ac:dyDescent="0.3">
      <c r="A43" s="74"/>
      <c r="B43" s="74"/>
      <c r="C43" s="74"/>
      <c r="D43" s="74"/>
      <c r="E43" s="74"/>
    </row>
    <row r="44" spans="1:5" x14ac:dyDescent="0.3">
      <c r="A44" s="74"/>
      <c r="B44" s="74"/>
      <c r="C44" s="74"/>
      <c r="D44" s="74"/>
      <c r="E44" s="74"/>
    </row>
    <row r="45" spans="1:5" x14ac:dyDescent="0.3">
      <c r="A45" s="74"/>
      <c r="B45" s="74"/>
      <c r="C45" s="74"/>
      <c r="D45" s="74"/>
      <c r="E45" s="74"/>
    </row>
    <row r="46" spans="1:5" x14ac:dyDescent="0.3">
      <c r="A46" s="74"/>
      <c r="B46" s="74"/>
      <c r="C46" s="74"/>
      <c r="D46" s="74"/>
      <c r="E46" s="74"/>
    </row>
    <row r="47" spans="1:5" x14ac:dyDescent="0.3">
      <c r="A47" s="74"/>
      <c r="B47" s="74"/>
      <c r="C47" s="74"/>
      <c r="D47" s="74"/>
      <c r="E47" s="74"/>
    </row>
    <row r="48" spans="1:5" x14ac:dyDescent="0.3">
      <c r="A48" s="74"/>
      <c r="B48" s="74"/>
      <c r="C48" s="74"/>
      <c r="D48" s="74"/>
      <c r="E48" s="74"/>
    </row>
    <row r="49" spans="1:5" x14ac:dyDescent="0.3">
      <c r="A49" s="74"/>
      <c r="B49" s="74"/>
      <c r="C49" s="74"/>
      <c r="D49" s="74"/>
      <c r="E49" s="74"/>
    </row>
    <row r="50" spans="1:5" x14ac:dyDescent="0.3">
      <c r="A50" s="74"/>
      <c r="B50" s="74"/>
      <c r="C50" s="74"/>
      <c r="D50" s="74"/>
      <c r="E50" s="74"/>
    </row>
    <row r="51" spans="1:5" x14ac:dyDescent="0.3">
      <c r="A51" s="74"/>
      <c r="B51" s="74"/>
      <c r="C51" s="74"/>
      <c r="D51" s="74"/>
      <c r="E51" s="74"/>
    </row>
    <row r="52" spans="1:5" x14ac:dyDescent="0.3">
      <c r="A52" s="74"/>
      <c r="B52" s="74"/>
      <c r="C52" s="74"/>
      <c r="D52" s="74"/>
      <c r="E52" s="74"/>
    </row>
    <row r="53" spans="1:5" x14ac:dyDescent="0.3">
      <c r="A53" s="74"/>
      <c r="B53" s="74"/>
      <c r="C53" s="74"/>
      <c r="D53" s="74"/>
      <c r="E53" s="74"/>
    </row>
    <row r="54" spans="1:5" x14ac:dyDescent="0.3">
      <c r="A54" s="74"/>
      <c r="B54" s="74"/>
      <c r="C54" s="74"/>
      <c r="D54" s="74"/>
      <c r="E54" s="74"/>
    </row>
    <row r="55" spans="1:5" x14ac:dyDescent="0.3">
      <c r="A55" s="74"/>
      <c r="B55" s="74"/>
      <c r="C55" s="74"/>
      <c r="D55" s="74"/>
      <c r="E55" s="74"/>
    </row>
    <row r="56" spans="1:5" x14ac:dyDescent="0.3">
      <c r="A56" s="74"/>
      <c r="B56" s="74"/>
      <c r="C56" s="74"/>
      <c r="D56" s="74"/>
      <c r="E56" s="74"/>
    </row>
    <row r="57" spans="1:5" x14ac:dyDescent="0.3">
      <c r="A57" s="74"/>
      <c r="B57" s="74"/>
      <c r="C57" s="74"/>
      <c r="D57" s="74"/>
      <c r="E57" s="74"/>
    </row>
    <row r="58" spans="1:5" x14ac:dyDescent="0.3">
      <c r="A58" s="74"/>
      <c r="B58" s="74"/>
      <c r="C58" s="74"/>
      <c r="D58" s="74"/>
      <c r="E58" s="74"/>
    </row>
    <row r="59" spans="1:5" x14ac:dyDescent="0.3">
      <c r="A59" s="74"/>
      <c r="B59" s="74"/>
      <c r="C59" s="74"/>
      <c r="D59" s="74"/>
      <c r="E59" s="74"/>
    </row>
    <row r="60" spans="1:5" x14ac:dyDescent="0.3">
      <c r="A60" s="74"/>
      <c r="B60" s="74"/>
      <c r="C60" s="74"/>
      <c r="D60" s="74"/>
      <c r="E60" s="74"/>
    </row>
    <row r="61" spans="1:5" x14ac:dyDescent="0.3">
      <c r="A61" s="74"/>
      <c r="B61" s="74"/>
      <c r="C61" s="74"/>
      <c r="D61" s="74"/>
      <c r="E61" s="74"/>
    </row>
    <row r="62" spans="1:5" x14ac:dyDescent="0.3">
      <c r="A62" s="74"/>
      <c r="B62" s="74"/>
      <c r="C62" s="74"/>
      <c r="D62" s="74"/>
      <c r="E62" s="74"/>
    </row>
    <row r="63" spans="1:5" x14ac:dyDescent="0.3">
      <c r="A63" s="74"/>
      <c r="B63" s="74"/>
      <c r="C63" s="74"/>
      <c r="D63" s="74"/>
      <c r="E63" s="74"/>
    </row>
    <row r="64" spans="1:5" x14ac:dyDescent="0.3">
      <c r="A64" s="74"/>
      <c r="B64" s="74"/>
      <c r="C64" s="74"/>
      <c r="D64" s="74"/>
      <c r="E64" s="74"/>
    </row>
    <row r="65" spans="1:5" x14ac:dyDescent="0.3">
      <c r="A65" s="74"/>
      <c r="B65" s="74"/>
      <c r="C65" s="74"/>
      <c r="D65" s="74"/>
      <c r="E65" s="74"/>
    </row>
    <row r="66" spans="1:5" x14ac:dyDescent="0.3">
      <c r="A66" s="74"/>
      <c r="B66" s="74"/>
      <c r="C66" s="74"/>
      <c r="D66" s="74"/>
      <c r="E66" s="74"/>
    </row>
    <row r="67" spans="1:5" x14ac:dyDescent="0.3">
      <c r="A67" s="74"/>
      <c r="B67" s="74"/>
      <c r="C67" s="74"/>
      <c r="D67" s="74"/>
      <c r="E67" s="74"/>
    </row>
    <row r="68" spans="1:5" x14ac:dyDescent="0.3">
      <c r="A68" s="74"/>
      <c r="B68" s="74"/>
      <c r="C68" s="74"/>
      <c r="D68" s="74"/>
      <c r="E68" s="74"/>
    </row>
    <row r="69" spans="1:5" x14ac:dyDescent="0.3">
      <c r="A69" s="74"/>
      <c r="B69" s="74"/>
      <c r="C69" s="74"/>
      <c r="D69" s="74"/>
      <c r="E69" s="74"/>
    </row>
    <row r="70" spans="1:5" x14ac:dyDescent="0.3">
      <c r="A70" s="74"/>
      <c r="B70" s="74"/>
      <c r="C70" s="74"/>
      <c r="D70" s="74"/>
      <c r="E70" s="74"/>
    </row>
    <row r="71" spans="1:5" x14ac:dyDescent="0.3">
      <c r="A71" s="74"/>
      <c r="B71" s="74"/>
      <c r="C71" s="74"/>
      <c r="D71" s="74"/>
      <c r="E71" s="74"/>
    </row>
    <row r="72" spans="1:5" x14ac:dyDescent="0.3">
      <c r="A72" s="74"/>
      <c r="B72" s="74"/>
      <c r="C72" s="74"/>
      <c r="D72" s="74"/>
      <c r="E72" s="74"/>
    </row>
    <row r="73" spans="1:5" x14ac:dyDescent="0.3">
      <c r="A73" s="74"/>
      <c r="B73" s="74"/>
      <c r="C73" s="74"/>
      <c r="D73" s="74"/>
      <c r="E73" s="74"/>
    </row>
    <row r="74" spans="1:5" x14ac:dyDescent="0.3">
      <c r="A74" s="74"/>
      <c r="B74" s="74"/>
      <c r="C74" s="74"/>
      <c r="D74" s="74"/>
      <c r="E74" s="74"/>
    </row>
    <row r="75" spans="1:5" x14ac:dyDescent="0.3">
      <c r="A75" s="74"/>
      <c r="B75" s="74"/>
      <c r="C75" s="74"/>
      <c r="D75" s="74"/>
      <c r="E75" s="74"/>
    </row>
    <row r="76" spans="1:5" x14ac:dyDescent="0.3">
      <c r="A76" s="74"/>
      <c r="B76" s="74"/>
      <c r="C76" s="74"/>
      <c r="D76" s="74"/>
      <c r="E76" s="74"/>
    </row>
    <row r="77" spans="1:5" x14ac:dyDescent="0.3">
      <c r="A77" s="74"/>
      <c r="B77" s="74"/>
      <c r="C77" s="74"/>
      <c r="D77" s="74"/>
      <c r="E77" s="74"/>
    </row>
    <row r="78" spans="1:5" x14ac:dyDescent="0.3">
      <c r="A78" s="74"/>
      <c r="B78" s="74"/>
      <c r="C78" s="74"/>
      <c r="D78" s="74"/>
      <c r="E78" s="74"/>
    </row>
    <row r="79" spans="1:5" x14ac:dyDescent="0.3">
      <c r="A79" s="74"/>
      <c r="B79" s="74"/>
      <c r="C79" s="74"/>
      <c r="D79" s="74"/>
      <c r="E79" s="74"/>
    </row>
    <row r="80" spans="1:5" x14ac:dyDescent="0.3">
      <c r="A80" s="74"/>
      <c r="B80" s="74"/>
      <c r="C80" s="74"/>
      <c r="D80" s="74"/>
      <c r="E80" s="74"/>
    </row>
    <row r="81" spans="1:5" x14ac:dyDescent="0.3">
      <c r="A81" s="74"/>
      <c r="B81" s="74"/>
      <c r="C81" s="74"/>
      <c r="D81" s="74"/>
      <c r="E81" s="74"/>
    </row>
    <row r="82" spans="1:5" x14ac:dyDescent="0.3">
      <c r="A82" s="74"/>
      <c r="B82" s="74"/>
      <c r="C82" s="74"/>
      <c r="D82" s="74"/>
      <c r="E82" s="74"/>
    </row>
    <row r="83" spans="1:5" x14ac:dyDescent="0.3">
      <c r="A83" s="74"/>
      <c r="B83" s="74"/>
      <c r="C83" s="74"/>
      <c r="D83" s="74"/>
      <c r="E83" s="74"/>
    </row>
    <row r="84" spans="1:5" x14ac:dyDescent="0.3">
      <c r="A84" s="74"/>
      <c r="B84" s="74"/>
      <c r="C84" s="74"/>
      <c r="D84" s="74"/>
      <c r="E84" s="74"/>
    </row>
    <row r="85" spans="1:5" x14ac:dyDescent="0.3">
      <c r="A85" s="74"/>
      <c r="B85" s="74"/>
      <c r="C85" s="74"/>
      <c r="D85" s="74"/>
      <c r="E85" s="74"/>
    </row>
    <row r="86" spans="1:5" x14ac:dyDescent="0.3">
      <c r="A86" s="74"/>
      <c r="B86" s="74"/>
      <c r="C86" s="74"/>
      <c r="D86" s="74"/>
      <c r="E86" s="74"/>
    </row>
    <row r="87" spans="1:5" x14ac:dyDescent="0.3">
      <c r="A87" s="74"/>
      <c r="B87" s="74"/>
      <c r="C87" s="74"/>
      <c r="D87" s="74"/>
      <c r="E87" s="74"/>
    </row>
    <row r="88" spans="1:5" x14ac:dyDescent="0.3">
      <c r="A88" s="74"/>
      <c r="B88" s="74"/>
      <c r="C88" s="74"/>
      <c r="D88" s="74"/>
      <c r="E88" s="74"/>
    </row>
    <row r="89" spans="1:5" x14ac:dyDescent="0.3">
      <c r="A89" s="74"/>
      <c r="B89" s="74"/>
      <c r="C89" s="74"/>
      <c r="D89" s="74"/>
      <c r="E89" s="74"/>
    </row>
    <row r="90" spans="1:5" x14ac:dyDescent="0.3">
      <c r="A90" s="74"/>
      <c r="B90" s="74"/>
      <c r="C90" s="74"/>
      <c r="D90" s="74"/>
      <c r="E90" s="74"/>
    </row>
    <row r="91" spans="1:5" x14ac:dyDescent="0.3">
      <c r="A91" s="74"/>
      <c r="B91" s="74"/>
      <c r="C91" s="74"/>
      <c r="D91" s="74"/>
      <c r="E91" s="74"/>
    </row>
    <row r="92" spans="1:5" x14ac:dyDescent="0.3">
      <c r="A92" s="74"/>
      <c r="B92" s="74"/>
      <c r="C92" s="74"/>
      <c r="D92" s="74"/>
      <c r="E92" s="74"/>
    </row>
    <row r="93" spans="1:5" x14ac:dyDescent="0.3">
      <c r="A93" s="74"/>
      <c r="B93" s="74"/>
      <c r="C93" s="74"/>
      <c r="D93" s="74"/>
      <c r="E93" s="74"/>
    </row>
    <row r="94" spans="1:5" x14ac:dyDescent="0.3">
      <c r="A94" s="74"/>
      <c r="B94" s="74"/>
      <c r="C94" s="74"/>
      <c r="D94" s="74"/>
      <c r="E94" s="74"/>
    </row>
    <row r="95" spans="1:5" x14ac:dyDescent="0.3">
      <c r="A95" s="74"/>
      <c r="B95" s="74"/>
      <c r="C95" s="74"/>
      <c r="D95" s="74"/>
      <c r="E95" s="74"/>
    </row>
    <row r="96" spans="1:5" x14ac:dyDescent="0.3">
      <c r="A96" s="74"/>
      <c r="B96" s="74"/>
      <c r="C96" s="74"/>
      <c r="D96" s="74"/>
      <c r="E96" s="74"/>
    </row>
    <row r="97" spans="1:5" x14ac:dyDescent="0.3">
      <c r="A97" s="74"/>
      <c r="B97" s="74"/>
      <c r="C97" s="74"/>
      <c r="D97" s="74"/>
      <c r="E97" s="74"/>
    </row>
    <row r="98" spans="1:5" x14ac:dyDescent="0.3">
      <c r="A98" s="74"/>
      <c r="B98" s="74"/>
      <c r="C98" s="74"/>
      <c r="D98" s="74"/>
      <c r="E98" s="74"/>
    </row>
    <row r="99" spans="1:5" x14ac:dyDescent="0.3">
      <c r="A99" s="74"/>
      <c r="B99" s="74"/>
      <c r="C99" s="74"/>
      <c r="D99" s="74"/>
      <c r="E99" s="74"/>
    </row>
    <row r="100" spans="1:5" x14ac:dyDescent="0.3">
      <c r="A100" s="74"/>
      <c r="B100" s="74"/>
      <c r="C100" s="74"/>
      <c r="D100" s="74"/>
      <c r="E100" s="74"/>
    </row>
    <row r="101" spans="1:5" x14ac:dyDescent="0.3">
      <c r="A101" s="74"/>
      <c r="B101" s="74"/>
      <c r="C101" s="74"/>
      <c r="D101" s="74"/>
      <c r="E101" s="74"/>
    </row>
    <row r="102" spans="1:5" x14ac:dyDescent="0.3">
      <c r="A102" s="74"/>
      <c r="B102" s="75"/>
      <c r="C102" s="74"/>
      <c r="D102" s="74"/>
      <c r="E102" s="74"/>
    </row>
    <row r="103" spans="1:5" x14ac:dyDescent="0.3">
      <c r="A103" s="74"/>
      <c r="B103" s="74"/>
      <c r="C103" s="74"/>
      <c r="D103" s="74"/>
      <c r="E103" s="74"/>
    </row>
    <row r="104" spans="1:5" ht="33.75" customHeight="1" x14ac:dyDescent="0.3">
      <c r="A104" s="74"/>
      <c r="B104" s="74"/>
      <c r="C104" s="74"/>
      <c r="D104" s="74"/>
      <c r="E104" s="74"/>
    </row>
    <row r="105" spans="1:5" x14ac:dyDescent="0.3">
      <c r="A105" s="74"/>
      <c r="B105" s="2881"/>
      <c r="C105" s="2880"/>
      <c r="D105" s="74"/>
      <c r="E105" s="74"/>
    </row>
    <row r="106" spans="1:5" x14ac:dyDescent="0.3">
      <c r="A106" s="74"/>
      <c r="B106" s="2880"/>
      <c r="C106" s="2880"/>
      <c r="D106" s="74"/>
      <c r="E106" s="74"/>
    </row>
    <row r="107" spans="1:5" x14ac:dyDescent="0.3">
      <c r="A107" s="74"/>
      <c r="B107" s="76"/>
      <c r="C107" s="74"/>
      <c r="D107" s="74"/>
      <c r="E107" s="74"/>
    </row>
    <row r="108" spans="1:5" x14ac:dyDescent="0.3">
      <c r="A108" s="74"/>
      <c r="B108" s="76"/>
      <c r="C108" s="74"/>
      <c r="D108" s="74"/>
      <c r="E108" s="74"/>
    </row>
    <row r="109" spans="1:5" x14ac:dyDescent="0.3">
      <c r="A109" s="74"/>
      <c r="B109" s="76"/>
      <c r="C109" s="74"/>
      <c r="D109" s="74"/>
      <c r="E109" s="74"/>
    </row>
    <row r="110" spans="1:5" x14ac:dyDescent="0.3">
      <c r="A110" s="74"/>
      <c r="B110" s="76"/>
      <c r="C110" s="74"/>
      <c r="D110" s="74"/>
      <c r="E110" s="74"/>
    </row>
    <row r="111" spans="1:5" x14ac:dyDescent="0.3">
      <c r="A111" s="74"/>
      <c r="B111" s="2881"/>
      <c r="C111" s="2880"/>
      <c r="D111" s="74"/>
      <c r="E111" s="74"/>
    </row>
    <row r="112" spans="1:5" x14ac:dyDescent="0.3">
      <c r="A112" s="74"/>
      <c r="B112" s="2880"/>
      <c r="C112" s="2880"/>
      <c r="D112" s="74"/>
      <c r="E112" s="74"/>
    </row>
    <row r="113" spans="1:5" x14ac:dyDescent="0.3">
      <c r="A113" s="74"/>
      <c r="B113" s="76"/>
      <c r="C113" s="74"/>
      <c r="D113" s="74"/>
      <c r="E113" s="74"/>
    </row>
    <row r="114" spans="1:5" x14ac:dyDescent="0.3">
      <c r="A114" s="74"/>
      <c r="B114" s="2881"/>
      <c r="C114" s="2880"/>
      <c r="D114" s="74"/>
      <c r="E114" s="74"/>
    </row>
    <row r="115" spans="1:5" x14ac:dyDescent="0.3">
      <c r="A115" s="74"/>
      <c r="B115" s="2879"/>
      <c r="C115" s="2880"/>
      <c r="D115" s="74"/>
      <c r="E115" s="74"/>
    </row>
    <row r="116" spans="1:5" x14ac:dyDescent="0.3">
      <c r="A116" s="74"/>
      <c r="B116" s="2879"/>
      <c r="C116" s="2880"/>
      <c r="D116" s="74"/>
      <c r="E116" s="74"/>
    </row>
    <row r="117" spans="1:5" x14ac:dyDescent="0.3">
      <c r="A117" s="74"/>
      <c r="B117" s="2879"/>
      <c r="C117" s="2880"/>
      <c r="D117" s="74"/>
      <c r="E117" s="74"/>
    </row>
    <row r="118" spans="1:5" x14ac:dyDescent="0.3">
      <c r="A118" s="74"/>
      <c r="B118" s="76"/>
      <c r="C118" s="74"/>
      <c r="D118" s="74"/>
      <c r="E118" s="74"/>
    </row>
    <row r="119" spans="1:5" ht="29.25" customHeight="1" x14ac:dyDescent="0.3">
      <c r="A119" s="74"/>
      <c r="B119" s="2881"/>
      <c r="C119" s="2880"/>
      <c r="D119" s="74"/>
      <c r="E119" s="74"/>
    </row>
    <row r="120" spans="1:5" x14ac:dyDescent="0.3">
      <c r="A120" s="74"/>
      <c r="B120" s="2879"/>
      <c r="C120" s="2880"/>
      <c r="D120" s="74"/>
      <c r="E120" s="74"/>
    </row>
    <row r="121" spans="1:5" ht="18" customHeight="1" x14ac:dyDescent="0.3">
      <c r="A121" s="74"/>
      <c r="B121" s="2879"/>
      <c r="C121" s="2880"/>
      <c r="D121" s="74"/>
      <c r="E121" s="74"/>
    </row>
    <row r="122" spans="1:5" ht="27.75" customHeight="1" x14ac:dyDescent="0.3">
      <c r="A122" s="74"/>
      <c r="B122" s="77"/>
      <c r="C122" s="74"/>
      <c r="D122" s="74"/>
      <c r="E122" s="74"/>
    </row>
    <row r="123" spans="1:5" ht="28.95" customHeight="1" x14ac:dyDescent="0.3">
      <c r="A123" s="74"/>
      <c r="B123" s="77"/>
      <c r="C123" s="74"/>
      <c r="D123" s="74"/>
      <c r="E123" s="74"/>
    </row>
    <row r="124" spans="1:5" x14ac:dyDescent="0.3">
      <c r="A124" s="74"/>
      <c r="B124" s="2879"/>
      <c r="C124" s="2880"/>
      <c r="D124" s="74"/>
      <c r="E124" s="74"/>
    </row>
    <row r="125" spans="1:5" x14ac:dyDescent="0.3">
      <c r="A125" s="74"/>
      <c r="B125" s="2879"/>
      <c r="C125" s="2880"/>
      <c r="D125" s="74"/>
      <c r="E125" s="74"/>
    </row>
    <row r="126" spans="1:5" x14ac:dyDescent="0.3">
      <c r="A126" s="74"/>
      <c r="B126" s="77"/>
      <c r="C126" s="74"/>
      <c r="D126" s="74"/>
      <c r="E126" s="74"/>
    </row>
    <row r="127" spans="1:5" x14ac:dyDescent="0.3">
      <c r="A127" s="74"/>
      <c r="B127" s="76"/>
      <c r="C127" s="74"/>
      <c r="D127" s="74"/>
      <c r="E127" s="74"/>
    </row>
    <row r="128" spans="1:5" x14ac:dyDescent="0.3">
      <c r="A128" s="74"/>
      <c r="B128" s="11"/>
      <c r="C128" s="74"/>
      <c r="D128" s="74"/>
      <c r="E128" s="74"/>
    </row>
    <row r="129" spans="1:4" x14ac:dyDescent="0.3">
      <c r="A129" s="74"/>
      <c r="B129" s="76"/>
      <c r="C129" s="74"/>
      <c r="D129" s="74"/>
    </row>
    <row r="130" spans="1:4" x14ac:dyDescent="0.3">
      <c r="B130" s="12"/>
      <c r="C130" s="2"/>
    </row>
    <row r="131" spans="1:4" x14ac:dyDescent="0.3">
      <c r="B131" s="12"/>
      <c r="C131" s="2"/>
    </row>
    <row r="132" spans="1:4" x14ac:dyDescent="0.3">
      <c r="B132" s="12"/>
      <c r="C132" s="2"/>
    </row>
    <row r="133" spans="1:4" x14ac:dyDescent="0.3">
      <c r="B133" s="12"/>
      <c r="C133" s="2"/>
    </row>
    <row r="134" spans="1:4" x14ac:dyDescent="0.3">
      <c r="B134" s="12"/>
      <c r="C134" s="2"/>
    </row>
    <row r="135" spans="1:4" x14ac:dyDescent="0.3">
      <c r="B135" s="13"/>
      <c r="C135" s="2"/>
    </row>
    <row r="136" spans="1:4" x14ac:dyDescent="0.3">
      <c r="B136" s="12"/>
      <c r="C136" s="2"/>
    </row>
    <row r="137" spans="1:4" x14ac:dyDescent="0.3">
      <c r="B137" s="12"/>
      <c r="C137" s="2"/>
    </row>
    <row r="138" spans="1:4" x14ac:dyDescent="0.3">
      <c r="B138" s="12"/>
      <c r="C138" s="2"/>
    </row>
    <row r="139" spans="1:4" x14ac:dyDescent="0.3">
      <c r="B139" s="12"/>
      <c r="C139" s="2"/>
    </row>
    <row r="140" spans="1:4" x14ac:dyDescent="0.3">
      <c r="B140" s="12"/>
      <c r="C140" s="2"/>
    </row>
    <row r="141" spans="1:4" x14ac:dyDescent="0.3">
      <c r="B141" s="12"/>
      <c r="C141" s="2"/>
    </row>
    <row r="142" spans="1:4" x14ac:dyDescent="0.3">
      <c r="B142" s="13"/>
      <c r="C142" s="2"/>
    </row>
    <row r="143" spans="1:4" x14ac:dyDescent="0.3">
      <c r="B143" s="12"/>
      <c r="C143" s="2"/>
    </row>
    <row r="144" spans="1:4" x14ac:dyDescent="0.3">
      <c r="B144" s="14"/>
      <c r="C144" s="2"/>
    </row>
    <row r="145" spans="2:3" x14ac:dyDescent="0.3">
      <c r="B145" s="14"/>
      <c r="C145" s="2"/>
    </row>
    <row r="146" spans="2:3" x14ac:dyDescent="0.3">
      <c r="B146" s="14"/>
      <c r="C146" s="2"/>
    </row>
    <row r="147" spans="2:3" x14ac:dyDescent="0.3">
      <c r="B147" s="12"/>
      <c r="C147" s="2"/>
    </row>
    <row r="148" spans="2:3" x14ac:dyDescent="0.3">
      <c r="B148" s="14"/>
      <c r="C148" s="2"/>
    </row>
    <row r="149" spans="2:3" x14ac:dyDescent="0.3">
      <c r="B149" s="14"/>
      <c r="C149" s="2"/>
    </row>
    <row r="150" spans="2:3" x14ac:dyDescent="0.3">
      <c r="B150" s="12"/>
      <c r="C150" s="2"/>
    </row>
    <row r="151" spans="2:3" x14ac:dyDescent="0.3">
      <c r="B151" s="12"/>
      <c r="C151" s="2"/>
    </row>
    <row r="152" spans="2:3" x14ac:dyDescent="0.3">
      <c r="B152" s="12"/>
      <c r="C152" s="2"/>
    </row>
    <row r="153" spans="2:3" x14ac:dyDescent="0.3">
      <c r="B153" s="13"/>
      <c r="C153" s="2"/>
    </row>
    <row r="154" spans="2:3" x14ac:dyDescent="0.3">
      <c r="B154" s="12"/>
      <c r="C154" s="2"/>
    </row>
    <row r="155" spans="2:3" x14ac:dyDescent="0.3">
      <c r="B155" s="12"/>
      <c r="C155" s="2"/>
    </row>
    <row r="156" spans="2:3" x14ac:dyDescent="0.3">
      <c r="B156" s="12"/>
      <c r="C156" s="2"/>
    </row>
    <row r="157" spans="2:3" x14ac:dyDescent="0.3">
      <c r="B157" s="12"/>
      <c r="C157" s="2"/>
    </row>
    <row r="158" spans="2:3" x14ac:dyDescent="0.3">
      <c r="B158" s="12"/>
      <c r="C158" s="2"/>
    </row>
    <row r="159" spans="2:3" x14ac:dyDescent="0.3">
      <c r="B159" s="12"/>
      <c r="C159" s="2"/>
    </row>
    <row r="160" spans="2:3" x14ac:dyDescent="0.3">
      <c r="B160" s="12"/>
      <c r="C160" s="2"/>
    </row>
    <row r="161" spans="2:3" x14ac:dyDescent="0.3">
      <c r="B161" s="12"/>
      <c r="C161" s="2"/>
    </row>
    <row r="162" spans="2:3" x14ac:dyDescent="0.3">
      <c r="B162" s="12"/>
      <c r="C162" s="2"/>
    </row>
    <row r="163" spans="2:3" x14ac:dyDescent="0.3">
      <c r="B163" s="13"/>
      <c r="C163" s="2"/>
    </row>
    <row r="164" spans="2:3" x14ac:dyDescent="0.3">
      <c r="B164" s="12"/>
      <c r="C164" s="2"/>
    </row>
    <row r="165" spans="2:3" x14ac:dyDescent="0.3">
      <c r="B165" s="12"/>
      <c r="C165" s="2"/>
    </row>
    <row r="166" spans="2:3" x14ac:dyDescent="0.3">
      <c r="B166" s="12"/>
      <c r="C166" s="2"/>
    </row>
    <row r="167" spans="2:3" x14ac:dyDescent="0.3">
      <c r="B167" s="12"/>
      <c r="C167" s="2"/>
    </row>
    <row r="168" spans="2:3" x14ac:dyDescent="0.3">
      <c r="B168" s="13"/>
      <c r="C168" s="2"/>
    </row>
    <row r="169" spans="2:3" x14ac:dyDescent="0.3">
      <c r="B169" s="12"/>
      <c r="C169" s="2"/>
    </row>
    <row r="170" spans="2:3" x14ac:dyDescent="0.3">
      <c r="B170" s="12"/>
      <c r="C170" s="2"/>
    </row>
    <row r="171" spans="2:3" x14ac:dyDescent="0.3">
      <c r="B171" s="14"/>
      <c r="C171" s="2"/>
    </row>
    <row r="172" spans="2:3" x14ac:dyDescent="0.3">
      <c r="B172" s="14"/>
      <c r="C172" s="2"/>
    </row>
    <row r="173" spans="2:3" x14ac:dyDescent="0.3">
      <c r="B173" s="12"/>
      <c r="C173" s="2"/>
    </row>
    <row r="174" spans="2:3" x14ac:dyDescent="0.3">
      <c r="B174" s="12"/>
      <c r="C174" s="2"/>
    </row>
    <row r="175" spans="2:3" x14ac:dyDescent="0.3">
      <c r="B175" s="13"/>
      <c r="C175" s="2"/>
    </row>
    <row r="176" spans="2:3" x14ac:dyDescent="0.3">
      <c r="B176" s="12"/>
      <c r="C176" s="2"/>
    </row>
    <row r="177" spans="2:3" x14ac:dyDescent="0.3">
      <c r="B177" s="12"/>
      <c r="C177" s="2"/>
    </row>
    <row r="178" spans="2:3" x14ac:dyDescent="0.3">
      <c r="B178" s="12"/>
      <c r="C178" s="2"/>
    </row>
    <row r="179" spans="2:3" x14ac:dyDescent="0.3">
      <c r="B179" s="12"/>
      <c r="C179" s="2"/>
    </row>
    <row r="180" spans="2:3" x14ac:dyDescent="0.3">
      <c r="B180" s="13"/>
      <c r="C180" s="2"/>
    </row>
    <row r="181" spans="2:3" x14ac:dyDescent="0.3">
      <c r="B181" s="12"/>
      <c r="C181" s="2"/>
    </row>
    <row r="182" spans="2:3" x14ac:dyDescent="0.3">
      <c r="B182" s="12"/>
      <c r="C182" s="2"/>
    </row>
    <row r="183" spans="2:3" x14ac:dyDescent="0.3">
      <c r="B183" s="12"/>
      <c r="C183" s="2"/>
    </row>
    <row r="184" spans="2:3" x14ac:dyDescent="0.3">
      <c r="B184" s="12"/>
      <c r="C184" s="2"/>
    </row>
    <row r="185" spans="2:3" x14ac:dyDescent="0.3">
      <c r="B185" s="12"/>
      <c r="C185" s="2"/>
    </row>
    <row r="186" spans="2:3" x14ac:dyDescent="0.3">
      <c r="B186" s="12"/>
      <c r="C186" s="2"/>
    </row>
    <row r="187" spans="2:3" x14ac:dyDescent="0.3">
      <c r="B187" s="12"/>
      <c r="C187" s="2"/>
    </row>
    <row r="188" spans="2:3" x14ac:dyDescent="0.3">
      <c r="B188" s="13"/>
      <c r="C188" s="2"/>
    </row>
    <row r="189" spans="2:3" x14ac:dyDescent="0.3">
      <c r="B189" s="12"/>
      <c r="C189" s="2"/>
    </row>
    <row r="190" spans="2:3" x14ac:dyDescent="0.3">
      <c r="B190" s="12"/>
      <c r="C190" s="2"/>
    </row>
    <row r="191" spans="2:3" x14ac:dyDescent="0.3">
      <c r="B191" s="12"/>
      <c r="C191" s="2"/>
    </row>
    <row r="192" spans="2:3" x14ac:dyDescent="0.3">
      <c r="B192" s="12"/>
      <c r="C192" s="2"/>
    </row>
    <row r="193" spans="2:3" x14ac:dyDescent="0.3">
      <c r="B193" s="12"/>
      <c r="C193" s="2"/>
    </row>
    <row r="194" spans="2:3" x14ac:dyDescent="0.3">
      <c r="B194" s="12"/>
      <c r="C194" s="2"/>
    </row>
    <row r="195" spans="2:3" x14ac:dyDescent="0.3">
      <c r="B195" s="12"/>
      <c r="C195" s="2"/>
    </row>
    <row r="196" spans="2:3" x14ac:dyDescent="0.3">
      <c r="B196" s="12"/>
      <c r="C196" s="2"/>
    </row>
    <row r="197" spans="2:3" x14ac:dyDescent="0.3">
      <c r="B197" s="13"/>
      <c r="C197" s="2"/>
    </row>
    <row r="198" spans="2:3" x14ac:dyDescent="0.3">
      <c r="B198" s="12"/>
      <c r="C198" s="2"/>
    </row>
    <row r="199" spans="2:3" x14ac:dyDescent="0.3">
      <c r="B199" s="12"/>
      <c r="C199" s="2"/>
    </row>
    <row r="200" spans="2:3" x14ac:dyDescent="0.3">
      <c r="B200" s="12"/>
      <c r="C200" s="2"/>
    </row>
    <row r="201" spans="2:3" x14ac:dyDescent="0.3">
      <c r="B201" s="12"/>
      <c r="C201" s="2"/>
    </row>
    <row r="202" spans="2:3" x14ac:dyDescent="0.3">
      <c r="B202" s="12"/>
      <c r="C202" s="2"/>
    </row>
    <row r="203" spans="2:3" x14ac:dyDescent="0.3">
      <c r="B203" s="12"/>
      <c r="C203" s="2"/>
    </row>
    <row r="204" spans="2:3" x14ac:dyDescent="0.3">
      <c r="B204" s="12"/>
      <c r="C204" s="2"/>
    </row>
    <row r="205" spans="2:3" x14ac:dyDescent="0.3">
      <c r="B205" s="13"/>
      <c r="C205" s="2"/>
    </row>
    <row r="206" spans="2:3" x14ac:dyDescent="0.3">
      <c r="B206" s="12"/>
      <c r="C206" s="2"/>
    </row>
    <row r="207" spans="2:3" x14ac:dyDescent="0.3">
      <c r="B207" s="12"/>
      <c r="C207" s="2"/>
    </row>
    <row r="208" spans="2:3" x14ac:dyDescent="0.3">
      <c r="B208" s="12"/>
      <c r="C208" s="2"/>
    </row>
    <row r="209" spans="2:3" x14ac:dyDescent="0.3">
      <c r="B209" s="12"/>
      <c r="C209" s="2"/>
    </row>
    <row r="210" spans="2:3" x14ac:dyDescent="0.3">
      <c r="B210" s="12"/>
      <c r="C210" s="2"/>
    </row>
    <row r="211" spans="2:3" x14ac:dyDescent="0.3">
      <c r="B211" s="13"/>
      <c r="C211" s="2"/>
    </row>
    <row r="212" spans="2:3" x14ac:dyDescent="0.3">
      <c r="B212" s="12"/>
      <c r="C212" s="2"/>
    </row>
    <row r="213" spans="2:3" x14ac:dyDescent="0.3">
      <c r="B213" s="12"/>
      <c r="C213" s="2"/>
    </row>
    <row r="214" spans="2:3" x14ac:dyDescent="0.3">
      <c r="B214" s="12"/>
      <c r="C214" s="2"/>
    </row>
    <row r="215" spans="2:3" x14ac:dyDescent="0.3">
      <c r="B215" s="14"/>
      <c r="C215" s="2"/>
    </row>
    <row r="216" spans="2:3" x14ac:dyDescent="0.3">
      <c r="B216" s="14"/>
      <c r="C216" s="2"/>
    </row>
    <row r="217" spans="2:3" x14ac:dyDescent="0.3">
      <c r="B217" s="14"/>
      <c r="C217" s="2"/>
    </row>
    <row r="218" spans="2:3" x14ac:dyDescent="0.3">
      <c r="B218" s="14"/>
      <c r="C218" s="2"/>
    </row>
    <row r="219" spans="2:3" x14ac:dyDescent="0.3">
      <c r="B219" s="12"/>
      <c r="C219" s="2"/>
    </row>
    <row r="220" spans="2:3" x14ac:dyDescent="0.3">
      <c r="B220" s="12"/>
      <c r="C220" s="2"/>
    </row>
    <row r="221" spans="2:3" x14ac:dyDescent="0.3">
      <c r="B221" s="13"/>
      <c r="C221" s="2"/>
    </row>
    <row r="222" spans="2:3" x14ac:dyDescent="0.3">
      <c r="B222" s="12"/>
      <c r="C222" s="2"/>
    </row>
    <row r="223" spans="2:3" x14ac:dyDescent="0.3">
      <c r="B223" s="12"/>
      <c r="C223" s="2"/>
    </row>
    <row r="224" spans="2:3" x14ac:dyDescent="0.3">
      <c r="B224" s="14"/>
      <c r="C224" s="2"/>
    </row>
    <row r="225" spans="2:3" x14ac:dyDescent="0.3">
      <c r="B225" s="14"/>
      <c r="C225" s="2"/>
    </row>
    <row r="226" spans="2:3" x14ac:dyDescent="0.3">
      <c r="B226" s="12"/>
      <c r="C226" s="2"/>
    </row>
    <row r="227" spans="2:3" x14ac:dyDescent="0.3">
      <c r="B227" s="12"/>
      <c r="C227" s="2"/>
    </row>
    <row r="228" spans="2:3" x14ac:dyDescent="0.3">
      <c r="B228" s="13"/>
      <c r="C228" s="2"/>
    </row>
    <row r="229" spans="2:3" x14ac:dyDescent="0.3">
      <c r="B229" s="12"/>
      <c r="C229" s="2"/>
    </row>
    <row r="230" spans="2:3" x14ac:dyDescent="0.3">
      <c r="B230" s="12"/>
      <c r="C230" s="2"/>
    </row>
    <row r="231" spans="2:3" x14ac:dyDescent="0.3">
      <c r="B231" s="14"/>
      <c r="C231" s="2"/>
    </row>
    <row r="232" spans="2:3" x14ac:dyDescent="0.3">
      <c r="B232" s="14"/>
      <c r="C232" s="2"/>
    </row>
    <row r="233" spans="2:3" x14ac:dyDescent="0.3">
      <c r="B233" s="12"/>
      <c r="C233" s="2"/>
    </row>
    <row r="234" spans="2:3" x14ac:dyDescent="0.3">
      <c r="B234" s="14"/>
      <c r="C234" s="2"/>
    </row>
    <row r="235" spans="2:3" x14ac:dyDescent="0.3">
      <c r="B235" s="14"/>
      <c r="C235" s="2"/>
    </row>
    <row r="236" spans="2:3" x14ac:dyDescent="0.3">
      <c r="B236" s="12"/>
      <c r="C236" s="2"/>
    </row>
    <row r="237" spans="2:3" x14ac:dyDescent="0.3">
      <c r="B237" s="12"/>
      <c r="C237" s="2"/>
    </row>
    <row r="238" spans="2:3" x14ac:dyDescent="0.3">
      <c r="B238" s="13"/>
      <c r="C238" s="2"/>
    </row>
    <row r="239" spans="2:3" x14ac:dyDescent="0.3">
      <c r="B239" s="12"/>
      <c r="C239" s="2"/>
    </row>
    <row r="240" spans="2:3" x14ac:dyDescent="0.3">
      <c r="B240" s="12"/>
      <c r="C240" s="2"/>
    </row>
    <row r="241" spans="2:3" x14ac:dyDescent="0.3">
      <c r="B241" s="12"/>
      <c r="C241" s="2"/>
    </row>
    <row r="242" spans="2:3" x14ac:dyDescent="0.3">
      <c r="B242" s="13"/>
      <c r="C242" s="2"/>
    </row>
    <row r="243" spans="2:3" x14ac:dyDescent="0.3">
      <c r="B243" s="12"/>
      <c r="C243" s="2"/>
    </row>
    <row r="244" spans="2:3" x14ac:dyDescent="0.3">
      <c r="B244" s="12"/>
      <c r="C244" s="2"/>
    </row>
    <row r="245" spans="2:3" x14ac:dyDescent="0.3">
      <c r="B245" s="12"/>
      <c r="C245" s="2"/>
    </row>
    <row r="246" spans="2:3" x14ac:dyDescent="0.3">
      <c r="B246" s="13"/>
      <c r="C246" s="2"/>
    </row>
    <row r="247" spans="2:3" x14ac:dyDescent="0.3">
      <c r="B247" s="12"/>
      <c r="C247" s="2"/>
    </row>
    <row r="248" spans="2:3" x14ac:dyDescent="0.3">
      <c r="B248" s="12"/>
      <c r="C248" s="2"/>
    </row>
    <row r="249" spans="2:3" x14ac:dyDescent="0.3">
      <c r="B249" s="12"/>
      <c r="C249" s="2"/>
    </row>
    <row r="250" spans="2:3" x14ac:dyDescent="0.3">
      <c r="B250" s="12"/>
      <c r="C250" s="2"/>
    </row>
    <row r="251" spans="2:3" x14ac:dyDescent="0.3">
      <c r="B251" s="14"/>
      <c r="C251" s="2"/>
    </row>
    <row r="252" spans="2:3" x14ac:dyDescent="0.3">
      <c r="B252" s="14"/>
      <c r="C252" s="2"/>
    </row>
    <row r="253" spans="2:3" x14ac:dyDescent="0.3">
      <c r="B253" s="14"/>
      <c r="C253" s="2"/>
    </row>
    <row r="254" spans="2:3" x14ac:dyDescent="0.3">
      <c r="B254" s="14"/>
      <c r="C254" s="2"/>
    </row>
    <row r="255" spans="2:3" x14ac:dyDescent="0.3">
      <c r="B255" s="12"/>
      <c r="C255" s="2"/>
    </row>
    <row r="256" spans="2:3" x14ac:dyDescent="0.3">
      <c r="B256" s="12"/>
      <c r="C256" s="2"/>
    </row>
    <row r="257" spans="2:3" x14ac:dyDescent="0.3">
      <c r="B257" s="12"/>
      <c r="C257" s="2"/>
    </row>
    <row r="258" spans="2:3" x14ac:dyDescent="0.3">
      <c r="B258" s="12"/>
      <c r="C258" s="2"/>
    </row>
    <row r="259" spans="2:3" x14ac:dyDescent="0.3">
      <c r="B259" s="12"/>
      <c r="C259" s="2"/>
    </row>
    <row r="260" spans="2:3" x14ac:dyDescent="0.3">
      <c r="B260" s="12"/>
      <c r="C260" s="2"/>
    </row>
    <row r="261" spans="2:3" x14ac:dyDescent="0.3">
      <c r="B261" s="13"/>
      <c r="C261" s="2"/>
    </row>
    <row r="262" spans="2:3" x14ac:dyDescent="0.3">
      <c r="B262" s="12"/>
      <c r="C262" s="2"/>
    </row>
    <row r="263" spans="2:3" x14ac:dyDescent="0.3">
      <c r="B263" s="12"/>
      <c r="C263" s="2"/>
    </row>
    <row r="264" spans="2:3" x14ac:dyDescent="0.3">
      <c r="B264" s="12"/>
      <c r="C264" s="2"/>
    </row>
    <row r="265" spans="2:3" x14ac:dyDescent="0.3">
      <c r="B265" s="14"/>
      <c r="C265" s="2"/>
    </row>
    <row r="266" spans="2:3" x14ac:dyDescent="0.3">
      <c r="B266" s="14"/>
      <c r="C266" s="2"/>
    </row>
    <row r="267" spans="2:3" x14ac:dyDescent="0.3">
      <c r="B267" s="12"/>
      <c r="C267" s="2"/>
    </row>
    <row r="268" spans="2:3" x14ac:dyDescent="0.3">
      <c r="B268" s="12"/>
      <c r="C268" s="2"/>
    </row>
    <row r="269" spans="2:3" x14ac:dyDescent="0.3">
      <c r="B269" s="14"/>
      <c r="C269" s="2"/>
    </row>
    <row r="270" spans="2:3" x14ac:dyDescent="0.3">
      <c r="B270" s="14"/>
      <c r="C270" s="2"/>
    </row>
    <row r="271" spans="2:3" x14ac:dyDescent="0.3">
      <c r="B271" s="14"/>
      <c r="C271" s="2"/>
    </row>
    <row r="272" spans="2:3" x14ac:dyDescent="0.3">
      <c r="B272" s="14"/>
      <c r="C272" s="2"/>
    </row>
    <row r="273" spans="2:3" x14ac:dyDescent="0.3">
      <c r="B273" s="14"/>
      <c r="C273" s="2"/>
    </row>
    <row r="274" spans="2:3" x14ac:dyDescent="0.3">
      <c r="B274" s="12"/>
      <c r="C274" s="2"/>
    </row>
    <row r="275" spans="2:3" x14ac:dyDescent="0.3">
      <c r="B275" s="12"/>
      <c r="C275" s="2"/>
    </row>
    <row r="276" spans="2:3" x14ac:dyDescent="0.3">
      <c r="B276" s="13"/>
      <c r="C276" s="2"/>
    </row>
    <row r="277" spans="2:3" x14ac:dyDescent="0.3">
      <c r="B277" s="12"/>
      <c r="C277" s="2"/>
    </row>
    <row r="278" spans="2:3" x14ac:dyDescent="0.3">
      <c r="B278" s="12"/>
      <c r="C278" s="2"/>
    </row>
    <row r="279" spans="2:3" x14ac:dyDescent="0.3">
      <c r="B279" s="12"/>
      <c r="C279" s="2"/>
    </row>
  </sheetData>
  <mergeCells count="16">
    <mergeCell ref="B105:C105"/>
    <mergeCell ref="B2:C2"/>
    <mergeCell ref="B5:B6"/>
    <mergeCell ref="C5:C6"/>
    <mergeCell ref="B125:C125"/>
    <mergeCell ref="B106:C106"/>
    <mergeCell ref="B111:C111"/>
    <mergeCell ref="B112:C112"/>
    <mergeCell ref="B114:C114"/>
    <mergeCell ref="B115:C115"/>
    <mergeCell ref="B116:C116"/>
    <mergeCell ref="B117:C117"/>
    <mergeCell ref="B119:C119"/>
    <mergeCell ref="B120:C120"/>
    <mergeCell ref="B121:C121"/>
    <mergeCell ref="B124:C124"/>
  </mergeCells>
  <hyperlinks>
    <hyperlink ref="C8" location="Hearing!A1" tooltip="Click to go to Hearing" display="Hearing - Telephonic Hearing Information"/>
    <hyperlink ref="C9" location="Attach1!A1" tooltip="Click to go to Attach1" display="Attachment 1 - Listing Of Largest Customers Billed During the Latest 12 Months"/>
    <hyperlink ref="C12" location="Attach3A!A1" tooltip="Click to go to Attach3" display="Attachment 3A - Volume Sales Test Year "/>
    <hyperlink ref="C15" location="Attach4!A1" tooltip="Click to go to Attach4" display="Attachment 4 - Public Fire Protection Revenue Test Year (Summary)"/>
    <hyperlink ref="C18" location="Attach7!A1" tooltip="Click to go to Attach7" display="Attachment 7 - Operating Revenues Test Year (Summary)"/>
    <hyperlink ref="C20" location="Attach9!A1" tooltip="Click to go to Attach9" display="Attachment 9 - Property Tax Equivalent Computation"/>
    <hyperlink ref="C23" location="Attach11a!A1" tooltip="Click to go to Attach11" display="Attachment 11a - Utility Plant"/>
    <hyperlink ref="C24" location="Attach12!A1" tooltip="Click to go to Attach12" display="Attachment 12 - Depreciation Accrual and Expenses"/>
    <hyperlink ref="C25" location="Attach13!A1" tooltip="Click to go to Attach13" display="Attachment 13 - Accumulated Depreciation, Contributions In Aid of Construction and Materials &amp; Supplies"/>
    <hyperlink ref="C26" location="Attach14!A1" tooltip="Click to go to Attach14" display="Attachment 14 - Estimated Rate Base and Increase Requested"/>
    <hyperlink ref="C16" location="Attach5!A1" tooltip="Click to go to Attach5" display="Attachment 5 - Public Fire Protection Revenue Test Year (Detail)"/>
    <hyperlink ref="C17" location="Attach6!A1" tooltip="Click to go to Attach6" display="Attachment 6 - Private Fire Protection Revenue Test Year"/>
    <hyperlink ref="C27" location="Attach15!A1" tooltip="Click to go to Attach15" display="Attachment 15 - Financing and Debt Summary"/>
    <hyperlink ref="C29" location="Attach17!A1" tooltip="Click to go to Attach17" display="Attachment 17 - Miscellaneous Information"/>
    <hyperlink ref="C30" location="Attach18!A1" tooltip="Click to go to Attach18" display="Attachment 18 - Water Conservation Spending"/>
    <hyperlink ref="C31" location="Attach19!A1" tooltip="Click to go to Attach19" display="Attachment 19 - Step II Information (only applies to utilities requesting a two step rate case)"/>
    <hyperlink ref="C32" location="Attach20!A1" tooltip="Click to go to Attach20" display="Attachment 20 - Step II Increase Requested (only applies to utilities requesting a two step rate case)"/>
    <hyperlink ref="C33" location="Attach21!A1" tooltip="Click to go to Attach21" display="Attachment 21 - Step II Notes (only applies to utilities requesting a two step rate case)"/>
    <hyperlink ref="C7" location="Contact_Info!A1" tooltip="Click to go to F3024" display="Contact Info - Application To Increase Rates Form"/>
    <hyperlink ref="C19" location="Attach8!A1" display="Attachment 8 - Taxes Test Year Summary"/>
    <hyperlink ref="C14" location="Attach3W!A1" display="Attachment 3W - Wholesale Revenues"/>
    <hyperlink ref="C10" location="Attach2A!A1" tooltip="Click to go to Attach2" display="Attachment 2A - Volume Sales Historical"/>
    <hyperlink ref="C22" location="Attach11!A1" tooltip="Click to go to Attach11" display="Attachment 11 - Utility Plant in Service"/>
    <hyperlink ref="C34" location="Attach22!A1" tooltip="Click to go to Attach21" display="Attachment 22 - Step II Notes"/>
    <hyperlink ref="C11" location="Attach2B!A1" display="Attachment 2B - Meter Sales Historical"/>
    <hyperlink ref="C13" location="Attach3B!A1" display="Attachment 3B - Meter Sales Test Year"/>
    <hyperlink ref="C28" location="Attach16!A1" tooltip="Click to go to Attach16" display="Attachment 16 - Impact Fees"/>
    <hyperlink ref="C21" location="Attach10_AB!A1" tooltip="Click to go to Attach10" display="Attachment 10 - Operating Expenses"/>
  </hyperlinks>
  <printOptions horizontalCentered="1"/>
  <pageMargins left="0.5" right="0.25" top="0.75" bottom="0" header="0" footer="0"/>
  <pageSetup scale="75" orientation="portrait" r:id="rId1"/>
  <headerFooter alignWithMargins="0"/>
  <drawing r:id="rId2"/>
  <legacyDrawing r:id="rId3"/>
  <controls>
    <mc:AlternateContent xmlns:mc="http://schemas.openxmlformats.org/markup-compatibility/2006">
      <mc:Choice Requires="x14">
        <control shapeId="206856" r:id="rId4" name="PSCAccess">
          <controlPr defaultSize="0" autoLine="0" autoPict="0" r:id="rId5">
            <anchor moveWithCells="1" sizeWithCells="1">
              <from>
                <xdr:col>6</xdr:col>
                <xdr:colOff>167640</xdr:colOff>
                <xdr:row>2</xdr:row>
                <xdr:rowOff>213360</xdr:rowOff>
              </from>
              <to>
                <xdr:col>11</xdr:col>
                <xdr:colOff>518160</xdr:colOff>
                <xdr:row>4</xdr:row>
                <xdr:rowOff>0</xdr:rowOff>
              </to>
            </anchor>
          </controlPr>
        </control>
      </mc:Choice>
      <mc:Fallback>
        <control shapeId="206856" r:id="rId4" name="PSCAccess"/>
      </mc:Fallback>
    </mc:AlternateContent>
    <mc:AlternateContent xmlns:mc="http://schemas.openxmlformats.org/markup-compatibility/2006">
      <mc:Choice Requires="x14">
        <control shapeId="206855" r:id="rId6" name="cmdUnlockForPSCUse">
          <controlPr autoLine="0" r:id="rId7">
            <anchor moveWithCells="1">
              <from>
                <xdr:col>34</xdr:col>
                <xdr:colOff>373380</xdr:colOff>
                <xdr:row>0</xdr:row>
                <xdr:rowOff>129540</xdr:rowOff>
              </from>
              <to>
                <xdr:col>37</xdr:col>
                <xdr:colOff>457200</xdr:colOff>
                <xdr:row>1</xdr:row>
                <xdr:rowOff>198120</xdr:rowOff>
              </to>
            </anchor>
          </controlPr>
        </control>
      </mc:Choice>
      <mc:Fallback>
        <control shapeId="206855" r:id="rId6" name="cmdUnlockForPSCUse"/>
      </mc:Fallback>
    </mc:AlternateContent>
    <mc:AlternateContent xmlns:mc="http://schemas.openxmlformats.org/markup-compatibility/2006">
      <mc:Choice Requires="x14">
        <control shapeId="206854" r:id="rId8" name="cmdClearEditList">
          <controlPr defaultSize="0" autoLine="0" autoPict="0" r:id="rId9">
            <anchor moveWithCells="1">
              <from>
                <xdr:col>2</xdr:col>
                <xdr:colOff>6050280</xdr:colOff>
                <xdr:row>35</xdr:row>
                <xdr:rowOff>167640</xdr:rowOff>
              </from>
              <to>
                <xdr:col>3</xdr:col>
                <xdr:colOff>350520</xdr:colOff>
                <xdr:row>38</xdr:row>
                <xdr:rowOff>45720</xdr:rowOff>
              </to>
            </anchor>
          </controlPr>
        </control>
      </mc:Choice>
      <mc:Fallback>
        <control shapeId="206854" r:id="rId8" name="cmdClearEditList"/>
      </mc:Fallback>
    </mc:AlternateContent>
    <mc:AlternateContent xmlns:mc="http://schemas.openxmlformats.org/markup-compatibility/2006">
      <mc:Choice Requires="x14">
        <control shapeId="206853" r:id="rId10" name="cmdPrintOut">
          <controlPr defaultSize="0" autoLine="0" r:id="rId11">
            <anchor moveWithCells="1">
              <from>
                <xdr:col>0</xdr:col>
                <xdr:colOff>68580</xdr:colOff>
                <xdr:row>36</xdr:row>
                <xdr:rowOff>0</xdr:rowOff>
              </from>
              <to>
                <xdr:col>1</xdr:col>
                <xdr:colOff>586740</xdr:colOff>
                <xdr:row>38</xdr:row>
                <xdr:rowOff>91440</xdr:rowOff>
              </to>
            </anchor>
          </controlPr>
        </control>
      </mc:Choice>
      <mc:Fallback>
        <control shapeId="206853" r:id="rId10" name="cmdPrintOut"/>
      </mc:Fallback>
    </mc:AlternateContent>
    <mc:AlternateContent xmlns:mc="http://schemas.openxmlformats.org/markup-compatibility/2006">
      <mc:Choice Requires="x14">
        <control shapeId="206851" r:id="rId12" name="txtEditChecks">
          <controlPr defaultSize="0" print="0" autoLine="0" r:id="rId13">
            <anchor moveWithCells="1">
              <from>
                <xdr:col>1</xdr:col>
                <xdr:colOff>716280</xdr:colOff>
                <xdr:row>36</xdr:row>
                <xdr:rowOff>0</xdr:rowOff>
              </from>
              <to>
                <xdr:col>2</xdr:col>
                <xdr:colOff>5661660</xdr:colOff>
                <xdr:row>103</xdr:row>
                <xdr:rowOff>281940</xdr:rowOff>
              </to>
            </anchor>
          </controlPr>
        </control>
      </mc:Choice>
      <mc:Fallback>
        <control shapeId="206851" r:id="rId12" name="txtEditChecks"/>
      </mc:Fallback>
    </mc:AlternateContent>
    <mc:AlternateContent xmlns:mc="http://schemas.openxmlformats.org/markup-compatibility/2006">
      <mc:Choice Requires="x14">
        <control shapeId="206857" r:id="rId14" name="Button 9">
          <controlPr defaultSize="0" print="0" autoFill="0" autoPict="0" macro="[0]!Edit_Check">
            <anchor moveWithCells="1">
              <from>
                <xdr:col>2</xdr:col>
                <xdr:colOff>1592580</xdr:colOff>
                <xdr:row>2</xdr:row>
                <xdr:rowOff>0</xdr:rowOff>
              </from>
              <to>
                <xdr:col>2</xdr:col>
                <xdr:colOff>3352800</xdr:colOff>
                <xdr:row>3</xdr:row>
                <xdr:rowOff>137160</xdr:rowOff>
              </to>
            </anchor>
          </controlPr>
        </control>
      </mc:Choice>
    </mc:AlternateContent>
    <mc:AlternateContent xmlns:mc="http://schemas.openxmlformats.org/markup-compatibility/2006">
      <mc:Choice Requires="x14">
        <control shapeId="206858" r:id="rId15" name="Button 10">
          <controlPr defaultSize="0" print="0" autoFill="0" autoPict="0" macro="[0]!BackMain">
            <anchor moveWithCells="1" sizeWithCells="1">
              <from>
                <xdr:col>1</xdr:col>
                <xdr:colOff>167640</xdr:colOff>
                <xdr:row>1</xdr:row>
                <xdr:rowOff>106680</xdr:rowOff>
              </from>
              <to>
                <xdr:col>1</xdr:col>
                <xdr:colOff>990600</xdr:colOff>
                <xdr:row>2</xdr:row>
                <xdr:rowOff>152400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autoPageBreaks="0" fitToPage="1"/>
  </sheetPr>
  <dimension ref="A1:E303"/>
  <sheetViews>
    <sheetView showGridLines="0" topLeftCell="A160" zoomScale="95" zoomScaleNormal="100" workbookViewId="0">
      <selection activeCell="A161" sqref="A161"/>
    </sheetView>
  </sheetViews>
  <sheetFormatPr defaultColWidth="9.109375" defaultRowHeight="13.2" x14ac:dyDescent="0.25"/>
  <cols>
    <col min="1" max="1" width="7.6640625" style="20" customWidth="1"/>
    <col min="2" max="2" width="2" style="20" customWidth="1"/>
    <col min="3" max="3" width="2.33203125" style="20" customWidth="1"/>
    <col min="4" max="4" width="109.88671875" style="16" customWidth="1"/>
    <col min="5" max="5" width="9.5546875" style="20" customWidth="1"/>
    <col min="6" max="16384" width="9.109375" style="16"/>
  </cols>
  <sheetData>
    <row r="1" spans="1:5" x14ac:dyDescent="0.25">
      <c r="A1" s="2158"/>
      <c r="B1" s="2158"/>
      <c r="C1" s="2158"/>
      <c r="D1" s="2158"/>
      <c r="E1" s="2158"/>
    </row>
    <row r="2" spans="1:5" ht="11.4" customHeight="1" thickBot="1" x14ac:dyDescent="0.3">
      <c r="A2" s="2158"/>
      <c r="B2" s="2158"/>
      <c r="C2" s="2158"/>
      <c r="D2" s="2158"/>
      <c r="E2" s="2158"/>
    </row>
    <row r="3" spans="1:5" ht="21.6" customHeight="1" x14ac:dyDescent="0.25">
      <c r="A3" s="2158"/>
      <c r="B3" s="2242" t="s">
        <v>1325</v>
      </c>
      <c r="C3" s="2243"/>
      <c r="D3" s="2244"/>
      <c r="E3" s="2158"/>
    </row>
    <row r="4" spans="1:5" ht="17.100000000000001" customHeight="1" x14ac:dyDescent="0.25">
      <c r="A4" s="2158"/>
      <c r="B4" s="2245" t="s">
        <v>1393</v>
      </c>
      <c r="C4" s="2246"/>
      <c r="D4" s="2247"/>
      <c r="E4" s="2158"/>
    </row>
    <row r="5" spans="1:5" ht="18.45" customHeight="1" thickBot="1" x14ac:dyDescent="0.3">
      <c r="A5" s="2158"/>
      <c r="B5" s="2248" t="s">
        <v>1484</v>
      </c>
      <c r="C5" s="2249"/>
      <c r="D5" s="2250"/>
      <c r="E5" s="2158"/>
    </row>
    <row r="6" spans="1:5" ht="54" customHeight="1" thickTop="1" x14ac:dyDescent="0.25">
      <c r="A6" s="2158"/>
      <c r="B6" s="2159"/>
      <c r="C6" s="2160"/>
      <c r="D6" s="2161" t="s">
        <v>1324</v>
      </c>
      <c r="E6" s="2158"/>
    </row>
    <row r="7" spans="1:5" x14ac:dyDescent="0.25">
      <c r="A7" s="2158"/>
      <c r="B7" s="2159"/>
      <c r="C7" s="2160"/>
      <c r="D7" s="2003" t="s">
        <v>1199</v>
      </c>
      <c r="E7" s="2158"/>
    </row>
    <row r="8" spans="1:5" x14ac:dyDescent="0.25">
      <c r="A8" s="2158"/>
      <c r="B8" s="2159"/>
      <c r="C8" s="2160"/>
      <c r="D8" s="2004" t="s">
        <v>32</v>
      </c>
      <c r="E8" s="2158"/>
    </row>
    <row r="9" spans="1:5" x14ac:dyDescent="0.25">
      <c r="A9" s="2158"/>
      <c r="B9" s="2159"/>
      <c r="C9" s="2160"/>
      <c r="D9" s="2004" t="s">
        <v>33</v>
      </c>
      <c r="E9" s="2158"/>
    </row>
    <row r="10" spans="1:5" x14ac:dyDescent="0.25">
      <c r="A10" s="2158"/>
      <c r="B10" s="2159"/>
      <c r="C10" s="2160"/>
      <c r="D10" s="2005" t="s">
        <v>910</v>
      </c>
      <c r="E10" s="2158"/>
    </row>
    <row r="11" spans="1:5" x14ac:dyDescent="0.25">
      <c r="A11" s="2158"/>
      <c r="B11" s="2159"/>
      <c r="C11" s="2160"/>
      <c r="D11" s="2005" t="s">
        <v>913</v>
      </c>
      <c r="E11" s="2158"/>
    </row>
    <row r="12" spans="1:5" x14ac:dyDescent="0.25">
      <c r="A12" s="2158"/>
      <c r="B12" s="2159"/>
      <c r="C12" s="2160"/>
      <c r="D12" s="2005" t="s">
        <v>931</v>
      </c>
      <c r="E12" s="2158"/>
    </row>
    <row r="13" spans="1:5" x14ac:dyDescent="0.25">
      <c r="A13" s="2158"/>
      <c r="B13" s="2159"/>
      <c r="C13" s="2160"/>
      <c r="D13" s="2005" t="s">
        <v>911</v>
      </c>
      <c r="E13" s="2158"/>
    </row>
    <row r="14" spans="1:5" x14ac:dyDescent="0.25">
      <c r="A14" s="2158"/>
      <c r="B14" s="2159"/>
      <c r="C14" s="2160"/>
      <c r="D14" s="2005" t="s">
        <v>912</v>
      </c>
      <c r="E14" s="2158"/>
    </row>
    <row r="15" spans="1:5" x14ac:dyDescent="0.25">
      <c r="A15" s="2158"/>
      <c r="B15" s="2159"/>
      <c r="C15" s="2160"/>
      <c r="D15" s="2005" t="s">
        <v>898</v>
      </c>
      <c r="E15" s="2158"/>
    </row>
    <row r="16" spans="1:5" x14ac:dyDescent="0.25">
      <c r="A16" s="2158"/>
      <c r="B16" s="2159"/>
      <c r="C16" s="2160"/>
      <c r="D16" s="2003" t="s">
        <v>34</v>
      </c>
      <c r="E16" s="2158"/>
    </row>
    <row r="17" spans="1:5" x14ac:dyDescent="0.25">
      <c r="A17" s="2158"/>
      <c r="B17" s="2159"/>
      <c r="C17" s="2160"/>
      <c r="D17" s="2003" t="s">
        <v>35</v>
      </c>
      <c r="E17" s="2158"/>
    </row>
    <row r="18" spans="1:5" x14ac:dyDescent="0.25">
      <c r="A18" s="2158"/>
      <c r="B18" s="2159"/>
      <c r="C18" s="2160"/>
      <c r="D18" s="2003" t="s">
        <v>36</v>
      </c>
      <c r="E18" s="2158"/>
    </row>
    <row r="19" spans="1:5" x14ac:dyDescent="0.25">
      <c r="A19" s="2158"/>
      <c r="B19" s="2159"/>
      <c r="C19" s="2160"/>
      <c r="D19" s="2003" t="s">
        <v>37</v>
      </c>
      <c r="E19" s="2158"/>
    </row>
    <row r="20" spans="1:5" x14ac:dyDescent="0.25">
      <c r="A20" s="2158"/>
      <c r="B20" s="2159"/>
      <c r="C20" s="2160"/>
      <c r="D20" s="2003" t="s">
        <v>38</v>
      </c>
      <c r="E20" s="2158"/>
    </row>
    <row r="21" spans="1:5" x14ac:dyDescent="0.25">
      <c r="A21" s="2158"/>
      <c r="B21" s="2159"/>
      <c r="C21" s="2160"/>
      <c r="D21" s="2005" t="s">
        <v>914</v>
      </c>
      <c r="E21" s="2158"/>
    </row>
    <row r="22" spans="1:5" x14ac:dyDescent="0.25">
      <c r="A22" s="2158"/>
      <c r="B22" s="2159"/>
      <c r="C22" s="2160"/>
      <c r="D22" s="2003" t="s">
        <v>39</v>
      </c>
      <c r="E22" s="2158"/>
    </row>
    <row r="23" spans="1:5" x14ac:dyDescent="0.25">
      <c r="A23" s="2158"/>
      <c r="B23" s="2159"/>
      <c r="C23" s="2160"/>
      <c r="D23" s="2003" t="s">
        <v>40</v>
      </c>
      <c r="E23" s="2158"/>
    </row>
    <row r="24" spans="1:5" x14ac:dyDescent="0.25">
      <c r="A24" s="2158"/>
      <c r="B24" s="2159"/>
      <c r="C24" s="2160"/>
      <c r="D24" s="2003" t="s">
        <v>41</v>
      </c>
      <c r="E24" s="2158"/>
    </row>
    <row r="25" spans="1:5" x14ac:dyDescent="0.25">
      <c r="A25" s="2158"/>
      <c r="B25" s="2159"/>
      <c r="C25" s="2160"/>
      <c r="D25" s="2005" t="s">
        <v>915</v>
      </c>
      <c r="E25" s="2158"/>
    </row>
    <row r="26" spans="1:5" x14ac:dyDescent="0.25">
      <c r="A26" s="2158"/>
      <c r="B26" s="2159"/>
      <c r="C26" s="2160"/>
      <c r="D26" s="2003" t="s">
        <v>42</v>
      </c>
      <c r="E26" s="2158"/>
    </row>
    <row r="27" spans="1:5" x14ac:dyDescent="0.25">
      <c r="A27" s="2158"/>
      <c r="B27" s="2159"/>
      <c r="C27" s="2160"/>
      <c r="D27" s="2003" t="s">
        <v>43</v>
      </c>
      <c r="E27" s="2158"/>
    </row>
    <row r="28" spans="1:5" x14ac:dyDescent="0.25">
      <c r="A28" s="2158"/>
      <c r="B28" s="2159"/>
      <c r="C28" s="2160"/>
      <c r="D28" s="2005" t="s">
        <v>916</v>
      </c>
      <c r="E28" s="2158"/>
    </row>
    <row r="29" spans="1:5" x14ac:dyDescent="0.25">
      <c r="A29" s="2158"/>
      <c r="B29" s="2159"/>
      <c r="C29" s="2160"/>
      <c r="D29" s="2003" t="s">
        <v>44</v>
      </c>
      <c r="E29" s="2158"/>
    </row>
    <row r="30" spans="1:5" x14ac:dyDescent="0.25">
      <c r="A30" s="2158"/>
      <c r="B30" s="2159"/>
      <c r="C30" s="2160"/>
      <c r="D30" s="2005" t="s">
        <v>897</v>
      </c>
      <c r="E30" s="2158"/>
    </row>
    <row r="31" spans="1:5" x14ac:dyDescent="0.25">
      <c r="A31" s="2158"/>
      <c r="B31" s="2159"/>
      <c r="C31" s="2160"/>
      <c r="D31" s="2003" t="s">
        <v>28</v>
      </c>
      <c r="E31" s="2158"/>
    </row>
    <row r="32" spans="1:5" x14ac:dyDescent="0.25">
      <c r="A32" s="2158"/>
      <c r="B32" s="2159"/>
      <c r="C32" s="2160"/>
      <c r="D32" s="2003" t="s">
        <v>1145</v>
      </c>
      <c r="E32" s="2158"/>
    </row>
    <row r="33" spans="1:5" x14ac:dyDescent="0.25">
      <c r="A33" s="2158"/>
      <c r="B33" s="2159"/>
      <c r="C33" s="2160"/>
      <c r="D33" s="2003" t="s">
        <v>1156</v>
      </c>
      <c r="E33" s="2158"/>
    </row>
    <row r="34" spans="1:5" x14ac:dyDescent="0.25">
      <c r="A34" s="2158"/>
      <c r="B34" s="2159"/>
      <c r="C34" s="2160"/>
      <c r="D34" s="2005" t="s">
        <v>102</v>
      </c>
      <c r="E34" s="2158"/>
    </row>
    <row r="35" spans="1:5" x14ac:dyDescent="0.25">
      <c r="A35" s="2158"/>
      <c r="B35" s="2159"/>
      <c r="C35" s="2160"/>
      <c r="D35" s="2005" t="s">
        <v>107</v>
      </c>
      <c r="E35" s="2158"/>
    </row>
    <row r="36" spans="1:5" x14ac:dyDescent="0.25">
      <c r="A36" s="2158"/>
      <c r="B36" s="2159"/>
      <c r="C36" s="2160"/>
      <c r="D36" s="2003" t="s">
        <v>45</v>
      </c>
      <c r="E36" s="2158"/>
    </row>
    <row r="37" spans="1:5" x14ac:dyDescent="0.25">
      <c r="A37" s="2158"/>
      <c r="B37" s="2159"/>
      <c r="C37" s="2160"/>
      <c r="D37" s="2003" t="s">
        <v>46</v>
      </c>
      <c r="E37" s="2158"/>
    </row>
    <row r="38" spans="1:5" x14ac:dyDescent="0.25">
      <c r="A38" s="2158"/>
      <c r="B38" s="2159"/>
      <c r="C38" s="2160"/>
      <c r="D38" s="2005" t="s">
        <v>917</v>
      </c>
      <c r="E38" s="2158"/>
    </row>
    <row r="39" spans="1:5" ht="13.8" thickBot="1" x14ac:dyDescent="0.3">
      <c r="A39" s="2158"/>
      <c r="B39" s="2159"/>
      <c r="C39" s="2160"/>
      <c r="D39" s="2006"/>
      <c r="E39" s="2158"/>
    </row>
    <row r="40" spans="1:5" ht="13.8" thickTop="1" x14ac:dyDescent="0.25">
      <c r="A40" s="2175"/>
      <c r="B40" s="2177"/>
      <c r="C40" s="2164"/>
      <c r="D40" s="2176"/>
      <c r="E40" s="2175"/>
    </row>
    <row r="41" spans="1:5" x14ac:dyDescent="0.25">
      <c r="A41" s="2158"/>
      <c r="B41" s="2265" t="s">
        <v>1199</v>
      </c>
      <c r="C41" s="2266"/>
      <c r="D41" s="2267"/>
      <c r="E41" s="2169"/>
    </row>
    <row r="42" spans="1:5" ht="26.4" x14ac:dyDescent="0.25">
      <c r="A42" s="2174"/>
      <c r="B42" s="2173"/>
      <c r="C42" s="1334" t="s">
        <v>47</v>
      </c>
      <c r="D42" s="2007" t="s">
        <v>1101</v>
      </c>
      <c r="E42" s="2169"/>
    </row>
    <row r="43" spans="1:5" x14ac:dyDescent="0.25">
      <c r="A43" s="2158"/>
      <c r="B43" s="2014"/>
      <c r="C43" s="1334" t="s">
        <v>48</v>
      </c>
      <c r="D43" s="2008" t="s">
        <v>1102</v>
      </c>
      <c r="E43" s="2158"/>
    </row>
    <row r="44" spans="1:5" x14ac:dyDescent="0.25">
      <c r="A44" s="2158"/>
      <c r="B44" s="2014"/>
      <c r="C44" s="1334" t="s">
        <v>49</v>
      </c>
      <c r="D44" s="2009" t="s">
        <v>50</v>
      </c>
      <c r="E44" s="2158"/>
    </row>
    <row r="45" spans="1:5" ht="28.2" customHeight="1" x14ac:dyDescent="0.25">
      <c r="A45" s="2158"/>
      <c r="B45" s="2014"/>
      <c r="C45" s="1334" t="s">
        <v>51</v>
      </c>
      <c r="D45" s="2010" t="s">
        <v>1103</v>
      </c>
      <c r="E45" s="2158"/>
    </row>
    <row r="46" spans="1:5" x14ac:dyDescent="0.25">
      <c r="A46" s="2158"/>
      <c r="B46" s="2014"/>
      <c r="C46" s="1645"/>
      <c r="D46" s="2005" t="s">
        <v>1104</v>
      </c>
      <c r="E46" s="2158"/>
    </row>
    <row r="47" spans="1:5" x14ac:dyDescent="0.25">
      <c r="A47" s="2158"/>
      <c r="B47" s="2014"/>
      <c r="C47" s="1645"/>
      <c r="D47" s="2011"/>
      <c r="E47" s="2158"/>
    </row>
    <row r="48" spans="1:5" x14ac:dyDescent="0.25">
      <c r="A48" s="2158"/>
      <c r="B48" s="2254" t="s">
        <v>32</v>
      </c>
      <c r="C48" s="2260"/>
      <c r="D48" s="2261"/>
      <c r="E48" s="2170"/>
    </row>
    <row r="49" spans="1:5" x14ac:dyDescent="0.25">
      <c r="A49" s="2158"/>
      <c r="B49" s="2014"/>
      <c r="C49" s="1645" t="s">
        <v>47</v>
      </c>
      <c r="D49" s="2172" t="s">
        <v>53</v>
      </c>
      <c r="E49" s="2170"/>
    </row>
    <row r="50" spans="1:5" ht="13.95" customHeight="1" x14ac:dyDescent="0.25">
      <c r="A50" s="2158"/>
      <c r="B50" s="2014"/>
      <c r="C50" s="1645"/>
      <c r="D50" s="2171"/>
      <c r="E50" s="2158"/>
    </row>
    <row r="51" spans="1:5" x14ac:dyDescent="0.25">
      <c r="A51" s="2158"/>
      <c r="B51" s="2254" t="s">
        <v>33</v>
      </c>
      <c r="C51" s="2260"/>
      <c r="D51" s="2261"/>
      <c r="E51" s="2170"/>
    </row>
    <row r="52" spans="1:5" x14ac:dyDescent="0.25">
      <c r="A52" s="2158"/>
      <c r="B52" s="2014"/>
      <c r="C52" s="1334" t="s">
        <v>47</v>
      </c>
      <c r="D52" s="2009" t="s">
        <v>54</v>
      </c>
      <c r="E52" s="2170"/>
    </row>
    <row r="53" spans="1:5" ht="12.75" customHeight="1" x14ac:dyDescent="0.25">
      <c r="A53" s="2158"/>
      <c r="B53" s="2014"/>
      <c r="C53" s="1334" t="s">
        <v>48</v>
      </c>
      <c r="D53" s="2010" t="s">
        <v>55</v>
      </c>
      <c r="E53" s="2170"/>
    </row>
    <row r="54" spans="1:5" x14ac:dyDescent="0.25">
      <c r="A54" s="2158"/>
      <c r="B54" s="2014"/>
      <c r="C54" s="1334" t="s">
        <v>49</v>
      </c>
      <c r="D54" s="2009" t="s">
        <v>909</v>
      </c>
      <c r="E54" s="2170"/>
    </row>
    <row r="55" spans="1:5" x14ac:dyDescent="0.25">
      <c r="A55" s="2158"/>
      <c r="B55" s="2014"/>
      <c r="C55" s="1334" t="s">
        <v>51</v>
      </c>
      <c r="D55" s="2009" t="s">
        <v>1105</v>
      </c>
      <c r="E55" s="2170"/>
    </row>
    <row r="56" spans="1:5" x14ac:dyDescent="0.25">
      <c r="A56" s="2158"/>
      <c r="B56" s="2014"/>
      <c r="C56" s="1645"/>
      <c r="D56" s="2171" t="s">
        <v>56</v>
      </c>
      <c r="E56" s="2158"/>
    </row>
    <row r="57" spans="1:5" x14ac:dyDescent="0.25">
      <c r="A57" s="2158"/>
      <c r="B57" s="2262" t="s">
        <v>910</v>
      </c>
      <c r="C57" s="2263"/>
      <c r="D57" s="2264"/>
      <c r="E57" s="2170"/>
    </row>
    <row r="58" spans="1:5" x14ac:dyDescent="0.25">
      <c r="A58" s="2158"/>
      <c r="B58" s="2014"/>
      <c r="C58" s="1334" t="s">
        <v>47</v>
      </c>
      <c r="D58" s="2009" t="s">
        <v>918</v>
      </c>
      <c r="E58" s="2170"/>
    </row>
    <row r="59" spans="1:5" ht="26.4" x14ac:dyDescent="0.25">
      <c r="A59" s="2158"/>
      <c r="B59" s="2014"/>
      <c r="C59" s="1334" t="s">
        <v>48</v>
      </c>
      <c r="D59" s="2010" t="s">
        <v>57</v>
      </c>
      <c r="E59" s="2170"/>
    </row>
    <row r="60" spans="1:5" x14ac:dyDescent="0.25">
      <c r="A60" s="2158"/>
      <c r="B60" s="2014"/>
      <c r="C60" s="1334" t="s">
        <v>49</v>
      </c>
      <c r="D60" s="2009" t="s">
        <v>930</v>
      </c>
      <c r="E60" s="2158"/>
    </row>
    <row r="61" spans="1:5" ht="26.4" x14ac:dyDescent="0.25">
      <c r="A61" s="2158"/>
      <c r="B61" s="2014"/>
      <c r="C61" s="1334" t="s">
        <v>51</v>
      </c>
      <c r="D61" s="2010" t="s">
        <v>1106</v>
      </c>
      <c r="E61" s="2158"/>
    </row>
    <row r="62" spans="1:5" x14ac:dyDescent="0.25">
      <c r="A62" s="2158"/>
      <c r="B62" s="2014"/>
      <c r="C62" s="1334" t="s">
        <v>52</v>
      </c>
      <c r="D62" s="2010" t="s">
        <v>58</v>
      </c>
      <c r="E62" s="2169"/>
    </row>
    <row r="63" spans="1:5" ht="26.4" x14ac:dyDescent="0.25">
      <c r="A63" s="2158"/>
      <c r="B63" s="2014"/>
      <c r="C63" s="1334" t="s">
        <v>59</v>
      </c>
      <c r="D63" s="2010" t="s">
        <v>919</v>
      </c>
      <c r="E63" s="2169"/>
    </row>
    <row r="64" spans="1:5" x14ac:dyDescent="0.25">
      <c r="A64" s="2158"/>
      <c r="B64" s="2014"/>
      <c r="C64" s="1334" t="s">
        <v>60</v>
      </c>
      <c r="D64" s="2010" t="s">
        <v>920</v>
      </c>
      <c r="E64" s="2169"/>
    </row>
    <row r="65" spans="1:5" x14ac:dyDescent="0.25">
      <c r="A65" s="2158"/>
      <c r="B65" s="2014"/>
      <c r="C65" s="1334"/>
      <c r="D65" s="2010"/>
      <c r="E65" s="2169"/>
    </row>
    <row r="66" spans="1:5" x14ac:dyDescent="0.25">
      <c r="A66" s="2158"/>
      <c r="B66" s="2156" t="s">
        <v>913</v>
      </c>
      <c r="C66" s="2012"/>
      <c r="D66" s="2013"/>
      <c r="E66" s="2169"/>
    </row>
    <row r="67" spans="1:5" x14ac:dyDescent="0.25">
      <c r="A67" s="2158"/>
      <c r="B67" s="2014" t="s">
        <v>921</v>
      </c>
      <c r="C67" s="1334" t="s">
        <v>47</v>
      </c>
      <c r="D67" s="2010" t="s">
        <v>927</v>
      </c>
      <c r="E67" s="2169"/>
    </row>
    <row r="68" spans="1:5" x14ac:dyDescent="0.25">
      <c r="A68" s="2158"/>
      <c r="B68" s="2014" t="s">
        <v>922</v>
      </c>
      <c r="C68" s="1334" t="s">
        <v>48</v>
      </c>
      <c r="D68" s="2010" t="s">
        <v>928</v>
      </c>
      <c r="E68" s="2169"/>
    </row>
    <row r="69" spans="1:5" ht="26.1" customHeight="1" x14ac:dyDescent="0.25">
      <c r="A69" s="2158"/>
      <c r="B69" s="2014" t="s">
        <v>923</v>
      </c>
      <c r="C69" s="1334" t="s">
        <v>49</v>
      </c>
      <c r="D69" s="2010" t="s">
        <v>1107</v>
      </c>
      <c r="E69" s="2169"/>
    </row>
    <row r="70" spans="1:5" ht="26.4" x14ac:dyDescent="0.25">
      <c r="A70" s="2158"/>
      <c r="B70" s="2014" t="s">
        <v>924</v>
      </c>
      <c r="C70" s="1334" t="s">
        <v>51</v>
      </c>
      <c r="D70" s="2010" t="s">
        <v>1108</v>
      </c>
      <c r="E70" s="2169"/>
    </row>
    <row r="71" spans="1:5" ht="26.4" x14ac:dyDescent="0.25">
      <c r="A71" s="2158"/>
      <c r="B71" s="2014" t="s">
        <v>925</v>
      </c>
      <c r="C71" s="1334" t="s">
        <v>52</v>
      </c>
      <c r="D71" s="2010" t="s">
        <v>1109</v>
      </c>
      <c r="E71" s="2169"/>
    </row>
    <row r="72" spans="1:5" ht="39.6" x14ac:dyDescent="0.25">
      <c r="A72" s="2158"/>
      <c r="B72" s="2014" t="s">
        <v>926</v>
      </c>
      <c r="C72" s="1334" t="s">
        <v>59</v>
      </c>
      <c r="D72" s="2010" t="s">
        <v>1364</v>
      </c>
      <c r="E72" s="2158"/>
    </row>
    <row r="73" spans="1:5" x14ac:dyDescent="0.25">
      <c r="A73" s="2158"/>
      <c r="B73" s="2014"/>
      <c r="C73" s="1334" t="s">
        <v>60</v>
      </c>
      <c r="D73" s="2010" t="s">
        <v>929</v>
      </c>
      <c r="E73" s="2158"/>
    </row>
    <row r="74" spans="1:5" x14ac:dyDescent="0.25">
      <c r="A74" s="2158"/>
      <c r="B74" s="2014"/>
      <c r="C74" s="1334"/>
      <c r="D74" s="2010"/>
      <c r="E74" s="2158"/>
    </row>
    <row r="75" spans="1:5" x14ac:dyDescent="0.25">
      <c r="A75" s="2158"/>
      <c r="B75" s="2157" t="s">
        <v>931</v>
      </c>
      <c r="C75" s="1334"/>
      <c r="D75" s="2010"/>
      <c r="E75" s="2158"/>
    </row>
    <row r="76" spans="1:5" ht="52.8" x14ac:dyDescent="0.25">
      <c r="A76" s="2158"/>
      <c r="B76" s="2014"/>
      <c r="C76" s="1334" t="s">
        <v>47</v>
      </c>
      <c r="D76" s="2015" t="s">
        <v>1110</v>
      </c>
      <c r="E76" s="2158"/>
    </row>
    <row r="77" spans="1:5" ht="39.6" x14ac:dyDescent="0.25">
      <c r="A77" s="2158"/>
      <c r="B77" s="2014"/>
      <c r="C77" s="1334" t="s">
        <v>48</v>
      </c>
      <c r="D77" s="2015" t="s">
        <v>1365</v>
      </c>
      <c r="E77" s="2158"/>
    </row>
    <row r="78" spans="1:5" x14ac:dyDescent="0.25">
      <c r="A78" s="2158"/>
      <c r="B78" s="2014"/>
      <c r="C78" s="1334"/>
      <c r="D78" s="2010"/>
      <c r="E78" s="2158"/>
    </row>
    <row r="79" spans="1:5" x14ac:dyDescent="0.25">
      <c r="A79" s="2158"/>
      <c r="B79" s="2257" t="s">
        <v>932</v>
      </c>
      <c r="C79" s="2258"/>
      <c r="D79" s="2259"/>
      <c r="E79" s="2158"/>
    </row>
    <row r="80" spans="1:5" x14ac:dyDescent="0.25">
      <c r="A80" s="2158"/>
      <c r="B80" s="2014"/>
      <c r="C80" s="1334" t="s">
        <v>47</v>
      </c>
      <c r="D80" s="2010" t="s">
        <v>1111</v>
      </c>
      <c r="E80" s="2158"/>
    </row>
    <row r="81" spans="1:5" x14ac:dyDescent="0.25">
      <c r="A81" s="2158"/>
      <c r="B81" s="2014"/>
      <c r="C81" s="1334" t="s">
        <v>48</v>
      </c>
      <c r="D81" s="2010" t="s">
        <v>1112</v>
      </c>
      <c r="E81" s="2158"/>
    </row>
    <row r="82" spans="1:5" ht="26.4" x14ac:dyDescent="0.25">
      <c r="A82" s="2158"/>
      <c r="B82" s="2014"/>
      <c r="C82" s="1334" t="s">
        <v>49</v>
      </c>
      <c r="D82" s="2010" t="s">
        <v>1113</v>
      </c>
      <c r="E82" s="2158"/>
    </row>
    <row r="83" spans="1:5" ht="26.4" x14ac:dyDescent="0.25">
      <c r="A83" s="2158"/>
      <c r="B83" s="2014"/>
      <c r="C83" s="1334" t="s">
        <v>51</v>
      </c>
      <c r="D83" s="2010" t="s">
        <v>1367</v>
      </c>
      <c r="E83" s="2158"/>
    </row>
    <row r="84" spans="1:5" x14ac:dyDescent="0.25">
      <c r="A84" s="2158"/>
      <c r="B84" s="2014"/>
      <c r="C84" s="1334" t="s">
        <v>52</v>
      </c>
      <c r="D84" s="2010" t="s">
        <v>61</v>
      </c>
      <c r="E84" s="2158"/>
    </row>
    <row r="85" spans="1:5" x14ac:dyDescent="0.25">
      <c r="A85" s="2158"/>
      <c r="B85" s="2014"/>
      <c r="C85" s="1334" t="s">
        <v>59</v>
      </c>
      <c r="D85" s="2010" t="s">
        <v>1366</v>
      </c>
      <c r="E85" s="2158"/>
    </row>
    <row r="86" spans="1:5" x14ac:dyDescent="0.25">
      <c r="A86" s="2158"/>
      <c r="B86" s="2014"/>
      <c r="C86" s="1334"/>
      <c r="D86" s="2010"/>
      <c r="E86" s="2158"/>
    </row>
    <row r="87" spans="1:5" x14ac:dyDescent="0.25">
      <c r="A87" s="2158"/>
      <c r="B87" s="2156" t="s">
        <v>912</v>
      </c>
      <c r="C87" s="1334"/>
      <c r="D87" s="2010"/>
      <c r="E87" s="2158"/>
    </row>
    <row r="88" spans="1:5" x14ac:dyDescent="0.25">
      <c r="A88" s="2158"/>
      <c r="B88" s="2014"/>
      <c r="C88" s="1334" t="s">
        <v>47</v>
      </c>
      <c r="D88" s="2010" t="s">
        <v>1111</v>
      </c>
      <c r="E88" s="2158"/>
    </row>
    <row r="89" spans="1:5" x14ac:dyDescent="0.25">
      <c r="A89" s="2158"/>
      <c r="B89" s="2014"/>
      <c r="C89" s="1334" t="s">
        <v>48</v>
      </c>
      <c r="D89" s="2010" t="s">
        <v>1114</v>
      </c>
      <c r="E89" s="2158"/>
    </row>
    <row r="90" spans="1:5" x14ac:dyDescent="0.25">
      <c r="A90" s="2158"/>
      <c r="B90" s="2014"/>
      <c r="C90" s="1334" t="s">
        <v>49</v>
      </c>
      <c r="D90" s="2010" t="s">
        <v>933</v>
      </c>
      <c r="E90" s="2158"/>
    </row>
    <row r="91" spans="1:5" ht="26.4" x14ac:dyDescent="0.25">
      <c r="A91" s="2158"/>
      <c r="B91" s="2014"/>
      <c r="C91" s="1334" t="s">
        <v>51</v>
      </c>
      <c r="D91" s="2010" t="s">
        <v>1368</v>
      </c>
      <c r="E91" s="2158"/>
    </row>
    <row r="92" spans="1:5" x14ac:dyDescent="0.25">
      <c r="A92" s="2158"/>
      <c r="B92" s="2014"/>
      <c r="C92" s="1334" t="s">
        <v>52</v>
      </c>
      <c r="D92" s="2010" t="s">
        <v>934</v>
      </c>
      <c r="E92" s="2158"/>
    </row>
    <row r="93" spans="1:5" x14ac:dyDescent="0.25">
      <c r="A93" s="2158"/>
      <c r="B93" s="2014"/>
      <c r="C93" s="1334"/>
      <c r="D93" s="2010"/>
      <c r="E93" s="2158"/>
    </row>
    <row r="94" spans="1:5" x14ac:dyDescent="0.25">
      <c r="A94" s="2158"/>
      <c r="B94" s="2157" t="s">
        <v>898</v>
      </c>
      <c r="C94" s="1334"/>
      <c r="D94" s="2010"/>
      <c r="E94" s="2158"/>
    </row>
    <row r="95" spans="1:5" x14ac:dyDescent="0.25">
      <c r="A95" s="2158"/>
      <c r="B95" s="2014"/>
      <c r="C95" s="1334" t="s">
        <v>47</v>
      </c>
      <c r="D95" s="2010" t="s">
        <v>962</v>
      </c>
      <c r="E95" s="2158"/>
    </row>
    <row r="96" spans="1:5" x14ac:dyDescent="0.25">
      <c r="A96" s="2158"/>
      <c r="B96" s="2014"/>
      <c r="C96" s="1334" t="s">
        <v>48</v>
      </c>
      <c r="D96" s="2010" t="s">
        <v>937</v>
      </c>
      <c r="E96" s="2158"/>
    </row>
    <row r="97" spans="1:5" ht="13.5" customHeight="1" x14ac:dyDescent="0.25">
      <c r="A97" s="2158"/>
      <c r="B97" s="2014"/>
      <c r="C97" s="1334" t="s">
        <v>49</v>
      </c>
      <c r="D97" s="2010" t="s">
        <v>938</v>
      </c>
      <c r="E97" s="2158"/>
    </row>
    <row r="98" spans="1:5" ht="13.5" customHeight="1" x14ac:dyDescent="0.25">
      <c r="A98" s="2158"/>
      <c r="B98" s="2014"/>
      <c r="C98" s="1334"/>
      <c r="D98" s="2010" t="s">
        <v>1369</v>
      </c>
      <c r="E98" s="2158"/>
    </row>
    <row r="99" spans="1:5" x14ac:dyDescent="0.25">
      <c r="A99" s="2158"/>
      <c r="B99" s="2014"/>
      <c r="C99" s="1334"/>
      <c r="D99" s="2010"/>
      <c r="E99" s="2158"/>
    </row>
    <row r="100" spans="1:5" x14ac:dyDescent="0.25">
      <c r="A100" s="2158"/>
      <c r="B100" s="2254" t="s">
        <v>62</v>
      </c>
      <c r="C100" s="2260"/>
      <c r="D100" s="2261"/>
      <c r="E100" s="2158"/>
    </row>
    <row r="101" spans="1:5" ht="26.4" x14ac:dyDescent="0.25">
      <c r="A101" s="2158"/>
      <c r="B101" s="2014"/>
      <c r="C101" s="1334" t="s">
        <v>47</v>
      </c>
      <c r="D101" s="2010" t="s">
        <v>1115</v>
      </c>
      <c r="E101" s="2158"/>
    </row>
    <row r="102" spans="1:5" ht="26.4" x14ac:dyDescent="0.25">
      <c r="A102" s="2158"/>
      <c r="B102" s="2014"/>
      <c r="C102" s="1334" t="s">
        <v>48</v>
      </c>
      <c r="D102" s="2010" t="s">
        <v>63</v>
      </c>
      <c r="E102" s="2158"/>
    </row>
    <row r="103" spans="1:5" x14ac:dyDescent="0.25">
      <c r="A103" s="2158"/>
      <c r="B103" s="2014"/>
      <c r="C103" s="1334" t="s">
        <v>49</v>
      </c>
      <c r="D103" s="2010" t="s">
        <v>64</v>
      </c>
      <c r="E103" s="2158"/>
    </row>
    <row r="104" spans="1:5" ht="26.4" x14ac:dyDescent="0.25">
      <c r="A104" s="2158"/>
      <c r="B104" s="2014"/>
      <c r="C104" s="1334" t="s">
        <v>51</v>
      </c>
      <c r="D104" s="2010" t="s">
        <v>1116</v>
      </c>
      <c r="E104" s="2158"/>
    </row>
    <row r="105" spans="1:5" ht="26.4" x14ac:dyDescent="0.25">
      <c r="A105" s="2158"/>
      <c r="B105" s="2014"/>
      <c r="C105" s="1334" t="s">
        <v>52</v>
      </c>
      <c r="D105" s="2010" t="s">
        <v>1370</v>
      </c>
      <c r="E105" s="2158"/>
    </row>
    <row r="106" spans="1:5" x14ac:dyDescent="0.25">
      <c r="A106" s="2158"/>
      <c r="B106" s="2014"/>
      <c r="C106" s="1645"/>
      <c r="D106" s="2022" t="s">
        <v>56</v>
      </c>
      <c r="E106" s="2158"/>
    </row>
    <row r="107" spans="1:5" x14ac:dyDescent="0.25">
      <c r="A107" s="2158"/>
      <c r="B107" s="2254" t="s">
        <v>65</v>
      </c>
      <c r="C107" s="2260"/>
      <c r="D107" s="2261"/>
      <c r="E107" s="2158"/>
    </row>
    <row r="108" spans="1:5" x14ac:dyDescent="0.25">
      <c r="A108" s="2158"/>
      <c r="B108" s="2014"/>
      <c r="C108" s="1334" t="s">
        <v>47</v>
      </c>
      <c r="D108" s="2010" t="s">
        <v>939</v>
      </c>
      <c r="E108" s="2158"/>
    </row>
    <row r="109" spans="1:5" x14ac:dyDescent="0.25">
      <c r="A109" s="2158"/>
      <c r="B109" s="2014"/>
      <c r="C109" s="1334"/>
      <c r="D109" s="2016" t="s">
        <v>66</v>
      </c>
      <c r="E109" s="2158"/>
    </row>
    <row r="110" spans="1:5" x14ac:dyDescent="0.25">
      <c r="A110" s="2158"/>
      <c r="B110" s="2014"/>
      <c r="C110" s="1334"/>
      <c r="D110" s="2016" t="s">
        <v>67</v>
      </c>
      <c r="E110" s="2158"/>
    </row>
    <row r="111" spans="1:5" ht="26.4" x14ac:dyDescent="0.25">
      <c r="A111" s="2158"/>
      <c r="B111" s="2014"/>
      <c r="C111" s="1334" t="s">
        <v>48</v>
      </c>
      <c r="D111" s="2010" t="s">
        <v>940</v>
      </c>
      <c r="E111" s="2158"/>
    </row>
    <row r="112" spans="1:5" x14ac:dyDescent="0.25">
      <c r="A112" s="2158"/>
      <c r="B112" s="2014"/>
      <c r="C112" s="1334"/>
      <c r="D112" s="2016" t="s">
        <v>941</v>
      </c>
      <c r="E112" s="2158"/>
    </row>
    <row r="113" spans="1:5" x14ac:dyDescent="0.25">
      <c r="A113" s="2158"/>
      <c r="B113" s="2014"/>
      <c r="C113" s="1334" t="s">
        <v>49</v>
      </c>
      <c r="D113" s="2010" t="s">
        <v>942</v>
      </c>
      <c r="E113" s="2158"/>
    </row>
    <row r="114" spans="1:5" x14ac:dyDescent="0.25">
      <c r="A114" s="2158"/>
      <c r="B114" s="2014"/>
      <c r="C114" s="1334" t="s">
        <v>51</v>
      </c>
      <c r="D114" s="2010" t="s">
        <v>1371</v>
      </c>
      <c r="E114" s="2158"/>
    </row>
    <row r="115" spans="1:5" x14ac:dyDescent="0.25">
      <c r="A115" s="2158"/>
      <c r="B115" s="2014"/>
      <c r="C115" s="1645"/>
      <c r="D115" s="2022" t="s">
        <v>56</v>
      </c>
      <c r="E115" s="2158"/>
    </row>
    <row r="116" spans="1:5" x14ac:dyDescent="0.25">
      <c r="A116" s="2158"/>
      <c r="B116" s="2254" t="s">
        <v>68</v>
      </c>
      <c r="C116" s="2260"/>
      <c r="D116" s="2261"/>
      <c r="E116" s="2158"/>
    </row>
    <row r="117" spans="1:5" x14ac:dyDescent="0.25">
      <c r="A117" s="2158"/>
      <c r="B117" s="2014"/>
      <c r="C117" s="1334" t="s">
        <v>47</v>
      </c>
      <c r="D117" s="2017" t="s">
        <v>69</v>
      </c>
      <c r="E117" s="2158"/>
    </row>
    <row r="118" spans="1:5" x14ac:dyDescent="0.25">
      <c r="A118" s="2158"/>
      <c r="B118" s="2014"/>
      <c r="C118" s="1334" t="s">
        <v>48</v>
      </c>
      <c r="D118" s="2017" t="s">
        <v>70</v>
      </c>
      <c r="E118" s="2158"/>
    </row>
    <row r="119" spans="1:5" x14ac:dyDescent="0.25">
      <c r="A119" s="2158"/>
      <c r="B119" s="2014"/>
      <c r="C119" s="1334" t="s">
        <v>49</v>
      </c>
      <c r="D119" s="2017" t="s">
        <v>71</v>
      </c>
      <c r="E119" s="2158"/>
    </row>
    <row r="120" spans="1:5" ht="26.4" x14ac:dyDescent="0.25">
      <c r="A120" s="2158"/>
      <c r="B120" s="2014"/>
      <c r="C120" s="1334" t="s">
        <v>51</v>
      </c>
      <c r="D120" s="2017" t="s">
        <v>72</v>
      </c>
      <c r="E120" s="2158"/>
    </row>
    <row r="121" spans="1:5" x14ac:dyDescent="0.25">
      <c r="A121" s="2158"/>
      <c r="B121" s="2014"/>
      <c r="C121" s="1334" t="s">
        <v>52</v>
      </c>
      <c r="D121" s="2017" t="s">
        <v>73</v>
      </c>
      <c r="E121" s="2158"/>
    </row>
    <row r="122" spans="1:5" x14ac:dyDescent="0.25">
      <c r="A122" s="2158"/>
      <c r="B122" s="2014"/>
      <c r="C122" s="1334" t="s">
        <v>59</v>
      </c>
      <c r="D122" s="2017" t="s">
        <v>74</v>
      </c>
      <c r="E122" s="2158"/>
    </row>
    <row r="123" spans="1:5" ht="12.6" customHeight="1" x14ac:dyDescent="0.25">
      <c r="A123" s="2158"/>
      <c r="B123" s="2014"/>
      <c r="C123" s="1334" t="s">
        <v>60</v>
      </c>
      <c r="D123" s="2017" t="s">
        <v>1372</v>
      </c>
      <c r="E123" s="2158"/>
    </row>
    <row r="124" spans="1:5" x14ac:dyDescent="0.25">
      <c r="A124" s="2158"/>
      <c r="B124" s="2014"/>
      <c r="C124" s="1645"/>
      <c r="D124" s="2022" t="s">
        <v>56</v>
      </c>
      <c r="E124" s="2158"/>
    </row>
    <row r="125" spans="1:5" x14ac:dyDescent="0.25">
      <c r="A125" s="2158"/>
      <c r="B125" s="2254" t="s">
        <v>76</v>
      </c>
      <c r="C125" s="2260"/>
      <c r="D125" s="2261"/>
      <c r="E125" s="2158"/>
    </row>
    <row r="126" spans="1:5" ht="26.4" x14ac:dyDescent="0.25">
      <c r="A126" s="2158"/>
      <c r="B126" s="2014"/>
      <c r="C126" s="1334" t="s">
        <v>47</v>
      </c>
      <c r="D126" s="2010" t="s">
        <v>77</v>
      </c>
      <c r="E126" s="2158"/>
    </row>
    <row r="127" spans="1:5" x14ac:dyDescent="0.25">
      <c r="A127" s="2158"/>
      <c r="B127" s="2014"/>
      <c r="C127" s="1334" t="s">
        <v>48</v>
      </c>
      <c r="D127" s="2010" t="s">
        <v>78</v>
      </c>
      <c r="E127" s="2158"/>
    </row>
    <row r="128" spans="1:5" ht="26.4" x14ac:dyDescent="0.25">
      <c r="A128" s="2158"/>
      <c r="B128" s="2014"/>
      <c r="C128" s="1334" t="s">
        <v>49</v>
      </c>
      <c r="D128" s="2010" t="s">
        <v>1117</v>
      </c>
      <c r="E128" s="2158"/>
    </row>
    <row r="129" spans="1:5" x14ac:dyDescent="0.25">
      <c r="A129" s="2158"/>
      <c r="B129" s="2014"/>
      <c r="C129" s="1645" t="s">
        <v>51</v>
      </c>
      <c r="D129" s="2010" t="s">
        <v>1373</v>
      </c>
      <c r="E129" s="2158"/>
    </row>
    <row r="130" spans="1:5" x14ac:dyDescent="0.25">
      <c r="A130" s="2158"/>
      <c r="B130" s="2014"/>
      <c r="C130" s="1645"/>
      <c r="D130" s="2010"/>
      <c r="E130" s="2158"/>
    </row>
    <row r="131" spans="1:5" x14ac:dyDescent="0.25">
      <c r="A131" s="2158"/>
      <c r="B131" s="2254" t="s">
        <v>38</v>
      </c>
      <c r="C131" s="2260"/>
      <c r="D131" s="2261"/>
      <c r="E131" s="2158"/>
    </row>
    <row r="132" spans="1:5" ht="26.4" x14ac:dyDescent="0.25">
      <c r="A132" s="2158"/>
      <c r="B132" s="2014"/>
      <c r="C132" s="1334" t="s">
        <v>47</v>
      </c>
      <c r="D132" s="2010" t="s">
        <v>1118</v>
      </c>
      <c r="E132" s="2158"/>
    </row>
    <row r="133" spans="1:5" ht="39.6" x14ac:dyDescent="0.25">
      <c r="A133" s="2158"/>
      <c r="B133" s="2014"/>
      <c r="C133" s="1334" t="s">
        <v>48</v>
      </c>
      <c r="D133" s="2010" t="s">
        <v>79</v>
      </c>
      <c r="E133" s="2158"/>
    </row>
    <row r="134" spans="1:5" x14ac:dyDescent="0.25">
      <c r="A134" s="2158"/>
      <c r="B134" s="2014"/>
      <c r="C134" s="1334"/>
      <c r="D134" s="2016" t="s">
        <v>80</v>
      </c>
      <c r="E134" s="2158"/>
    </row>
    <row r="135" spans="1:5" ht="13.5" customHeight="1" x14ac:dyDescent="0.25">
      <c r="A135" s="2158"/>
      <c r="B135" s="2014"/>
      <c r="C135" s="1334"/>
      <c r="D135" s="2016" t="s">
        <v>81</v>
      </c>
      <c r="E135" s="2158"/>
    </row>
    <row r="136" spans="1:5" x14ac:dyDescent="0.25">
      <c r="A136" s="2158"/>
      <c r="B136" s="2014"/>
      <c r="C136" s="1334" t="s">
        <v>49</v>
      </c>
      <c r="D136" s="2010" t="s">
        <v>1366</v>
      </c>
      <c r="E136" s="2158"/>
    </row>
    <row r="137" spans="1:5" ht="26.4" x14ac:dyDescent="0.25">
      <c r="A137" s="2158"/>
      <c r="B137" s="2014"/>
      <c r="C137" s="1334" t="s">
        <v>51</v>
      </c>
      <c r="D137" s="2010" t="s">
        <v>1119</v>
      </c>
      <c r="E137" s="2158"/>
    </row>
    <row r="138" spans="1:5" x14ac:dyDescent="0.25">
      <c r="A138" s="2158"/>
      <c r="B138" s="2014"/>
      <c r="C138" s="1334"/>
      <c r="D138" s="2010"/>
      <c r="E138" s="2158"/>
    </row>
    <row r="139" spans="1:5" x14ac:dyDescent="0.25">
      <c r="A139" s="2158"/>
      <c r="B139" s="2257" t="s">
        <v>935</v>
      </c>
      <c r="C139" s="2258"/>
      <c r="D139" s="2259"/>
      <c r="E139" s="2158"/>
    </row>
    <row r="140" spans="1:5" x14ac:dyDescent="0.25">
      <c r="A140" s="2158"/>
      <c r="B140" s="2014"/>
      <c r="C140" s="1646" t="s">
        <v>47</v>
      </c>
      <c r="D140" s="2010" t="s">
        <v>943</v>
      </c>
      <c r="E140" s="2158"/>
    </row>
    <row r="141" spans="1:5" ht="26.4" x14ac:dyDescent="0.25">
      <c r="A141" s="2158"/>
      <c r="B141" s="2014"/>
      <c r="C141" s="1646" t="s">
        <v>48</v>
      </c>
      <c r="D141" s="2010" t="s">
        <v>1374</v>
      </c>
      <c r="E141" s="2158"/>
    </row>
    <row r="142" spans="1:5" x14ac:dyDescent="0.25">
      <c r="A142" s="2158"/>
      <c r="B142" s="2014"/>
      <c r="C142" s="1646" t="s">
        <v>49</v>
      </c>
      <c r="D142" s="2010" t="s">
        <v>1375</v>
      </c>
      <c r="E142" s="2158"/>
    </row>
    <row r="143" spans="1:5" x14ac:dyDescent="0.25">
      <c r="A143" s="2158"/>
      <c r="B143" s="2014"/>
      <c r="C143" s="1646" t="s">
        <v>51</v>
      </c>
      <c r="D143" s="2010" t="s">
        <v>1376</v>
      </c>
      <c r="E143" s="2158"/>
    </row>
    <row r="144" spans="1:5" x14ac:dyDescent="0.25">
      <c r="A144" s="2158"/>
      <c r="B144" s="2014"/>
      <c r="C144" s="1645"/>
      <c r="D144" s="2010"/>
      <c r="E144" s="2158"/>
    </row>
    <row r="145" spans="1:5" x14ac:dyDescent="0.25">
      <c r="A145" s="2158"/>
      <c r="B145" s="2254" t="s">
        <v>39</v>
      </c>
      <c r="C145" s="2260"/>
      <c r="D145" s="2261"/>
      <c r="E145" s="2158"/>
    </row>
    <row r="146" spans="1:5" ht="26.4" x14ac:dyDescent="0.25">
      <c r="A146" s="2158"/>
      <c r="B146" s="2014"/>
      <c r="C146" s="1334" t="s">
        <v>47</v>
      </c>
      <c r="D146" s="2010" t="s">
        <v>1120</v>
      </c>
      <c r="E146" s="2158"/>
    </row>
    <row r="147" spans="1:5" ht="26.4" x14ac:dyDescent="0.25">
      <c r="A147" s="2158"/>
      <c r="B147" s="2014"/>
      <c r="C147" s="1334" t="s">
        <v>48</v>
      </c>
      <c r="D147" s="2010" t="s">
        <v>1377</v>
      </c>
      <c r="E147" s="2158"/>
    </row>
    <row r="148" spans="1:5" ht="26.4" x14ac:dyDescent="0.25">
      <c r="A148" s="2158"/>
      <c r="B148" s="2014"/>
      <c r="C148" s="1334" t="s">
        <v>49</v>
      </c>
      <c r="D148" s="2010" t="s">
        <v>1378</v>
      </c>
      <c r="E148" s="2158"/>
    </row>
    <row r="149" spans="1:5" ht="26.4" x14ac:dyDescent="0.25">
      <c r="A149" s="2158"/>
      <c r="B149" s="2014"/>
      <c r="C149" s="1334" t="s">
        <v>51</v>
      </c>
      <c r="D149" s="2010" t="s">
        <v>1121</v>
      </c>
      <c r="E149" s="2158"/>
    </row>
    <row r="150" spans="1:5" ht="39.6" x14ac:dyDescent="0.25">
      <c r="A150" s="2158"/>
      <c r="B150" s="2014"/>
      <c r="C150" s="1334" t="s">
        <v>52</v>
      </c>
      <c r="D150" s="2010" t="s">
        <v>1122</v>
      </c>
      <c r="E150" s="2158"/>
    </row>
    <row r="151" spans="1:5" x14ac:dyDescent="0.25">
      <c r="A151" s="2158"/>
      <c r="B151" s="2014"/>
      <c r="C151" s="1334" t="s">
        <v>59</v>
      </c>
      <c r="D151" s="2010" t="s">
        <v>1379</v>
      </c>
      <c r="E151" s="2158"/>
    </row>
    <row r="152" spans="1:5" x14ac:dyDescent="0.25">
      <c r="A152" s="2158"/>
      <c r="B152" s="2014"/>
      <c r="C152" s="1645"/>
      <c r="D152" s="2022" t="s">
        <v>56</v>
      </c>
      <c r="E152" s="2158"/>
    </row>
    <row r="153" spans="1:5" x14ac:dyDescent="0.25">
      <c r="A153" s="2158"/>
      <c r="B153" s="2257" t="s">
        <v>944</v>
      </c>
      <c r="C153" s="2258"/>
      <c r="D153" s="2259"/>
      <c r="E153" s="2158"/>
    </row>
    <row r="154" spans="1:5" ht="26.4" x14ac:dyDescent="0.25">
      <c r="A154" s="2158"/>
      <c r="B154" s="2014"/>
      <c r="C154" s="1334" t="s">
        <v>47</v>
      </c>
      <c r="D154" s="2010" t="s">
        <v>1123</v>
      </c>
      <c r="E154" s="2158"/>
    </row>
    <row r="155" spans="1:5" ht="39.6" x14ac:dyDescent="0.25">
      <c r="A155" s="2158"/>
      <c r="B155" s="2014"/>
      <c r="C155" s="1334" t="s">
        <v>48</v>
      </c>
      <c r="D155" s="2010" t="s">
        <v>1124</v>
      </c>
      <c r="E155" s="2158"/>
    </row>
    <row r="156" spans="1:5" ht="52.8" x14ac:dyDescent="0.25">
      <c r="A156" s="2158"/>
      <c r="B156" s="2014"/>
      <c r="C156" s="1334" t="s">
        <v>49</v>
      </c>
      <c r="D156" s="2010" t="s">
        <v>1125</v>
      </c>
      <c r="E156" s="2158"/>
    </row>
    <row r="157" spans="1:5" ht="39.6" x14ac:dyDescent="0.25">
      <c r="A157" s="2158"/>
      <c r="B157" s="2014"/>
      <c r="C157" s="1334" t="s">
        <v>51</v>
      </c>
      <c r="D157" s="2010" t="s">
        <v>1126</v>
      </c>
      <c r="E157" s="2158"/>
    </row>
    <row r="158" spans="1:5" ht="39.6" x14ac:dyDescent="0.25">
      <c r="A158" s="2158"/>
      <c r="B158" s="2014"/>
      <c r="C158" s="1334" t="s">
        <v>52</v>
      </c>
      <c r="D158" s="2010" t="s">
        <v>1127</v>
      </c>
      <c r="E158" s="2158"/>
    </row>
    <row r="159" spans="1:5" x14ac:dyDescent="0.25">
      <c r="A159" s="2158"/>
      <c r="B159" s="2014"/>
      <c r="C159" s="1334" t="s">
        <v>59</v>
      </c>
      <c r="D159" s="2010" t="s">
        <v>82</v>
      </c>
      <c r="E159" s="2158"/>
    </row>
    <row r="160" spans="1:5" ht="26.4" x14ac:dyDescent="0.25">
      <c r="A160" s="2158"/>
      <c r="B160" s="2014"/>
      <c r="C160" s="1334" t="s">
        <v>60</v>
      </c>
      <c r="D160" s="2010" t="s">
        <v>1128</v>
      </c>
      <c r="E160" s="2158"/>
    </row>
    <row r="161" spans="1:5" x14ac:dyDescent="0.25">
      <c r="A161" s="2158"/>
      <c r="B161" s="2014"/>
      <c r="C161" s="1334" t="s">
        <v>75</v>
      </c>
      <c r="D161" s="2010" t="s">
        <v>1380</v>
      </c>
      <c r="E161" s="2158"/>
    </row>
    <row r="162" spans="1:5" x14ac:dyDescent="0.25">
      <c r="A162" s="2158"/>
      <c r="B162" s="2014"/>
      <c r="C162" s="1334"/>
      <c r="D162" s="2010"/>
      <c r="E162" s="2158"/>
    </row>
    <row r="163" spans="1:5" x14ac:dyDescent="0.25">
      <c r="A163" s="2158"/>
      <c r="B163" s="2257" t="s">
        <v>945</v>
      </c>
      <c r="C163" s="2258"/>
      <c r="D163" s="2259"/>
      <c r="E163" s="2158"/>
    </row>
    <row r="164" spans="1:5" ht="26.4" x14ac:dyDescent="0.25">
      <c r="A164" s="2158"/>
      <c r="B164" s="2014"/>
      <c r="C164" s="1334" t="s">
        <v>47</v>
      </c>
      <c r="D164" s="2010" t="s">
        <v>1129</v>
      </c>
      <c r="E164" s="2158"/>
    </row>
    <row r="165" spans="1:5" x14ac:dyDescent="0.25">
      <c r="A165" s="2158"/>
      <c r="B165" s="2014"/>
      <c r="C165" s="1334"/>
      <c r="D165" s="2018" t="s">
        <v>1130</v>
      </c>
      <c r="E165" s="2158"/>
    </row>
    <row r="166" spans="1:5" x14ac:dyDescent="0.25">
      <c r="A166" s="2158"/>
      <c r="B166" s="2014"/>
      <c r="C166" s="1334" t="s">
        <v>48</v>
      </c>
      <c r="D166" s="2010" t="s">
        <v>83</v>
      </c>
      <c r="E166" s="2158"/>
    </row>
    <row r="167" spans="1:5" ht="26.4" x14ac:dyDescent="0.25">
      <c r="A167" s="2158"/>
      <c r="B167" s="2014"/>
      <c r="C167" s="1334" t="s">
        <v>49</v>
      </c>
      <c r="D167" s="2010" t="s">
        <v>1131</v>
      </c>
      <c r="E167" s="2158"/>
    </row>
    <row r="168" spans="1:5" x14ac:dyDescent="0.25">
      <c r="A168" s="2158"/>
      <c r="B168" s="2014"/>
      <c r="C168" s="1334" t="s">
        <v>51</v>
      </c>
      <c r="D168" s="2010" t="s">
        <v>82</v>
      </c>
      <c r="E168" s="2158"/>
    </row>
    <row r="169" spans="1:5" ht="26.4" x14ac:dyDescent="0.25">
      <c r="A169" s="2158"/>
      <c r="B169" s="2014"/>
      <c r="C169" s="1334" t="s">
        <v>52</v>
      </c>
      <c r="D169" s="2010" t="s">
        <v>1381</v>
      </c>
      <c r="E169" s="2158"/>
    </row>
    <row r="170" spans="1:5" x14ac:dyDescent="0.25">
      <c r="A170" s="2158"/>
      <c r="B170" s="2014"/>
      <c r="C170" s="1334"/>
      <c r="D170" s="2010"/>
      <c r="E170" s="2158"/>
    </row>
    <row r="171" spans="1:5" x14ac:dyDescent="0.25">
      <c r="A171" s="2158"/>
      <c r="B171" s="2254" t="s">
        <v>41</v>
      </c>
      <c r="C171" s="2255"/>
      <c r="D171" s="2256"/>
      <c r="E171" s="2158"/>
    </row>
    <row r="172" spans="1:5" x14ac:dyDescent="0.25">
      <c r="A172" s="2158"/>
      <c r="B172" s="2014"/>
      <c r="C172" s="1334" t="s">
        <v>47</v>
      </c>
      <c r="D172" s="2010" t="s">
        <v>1132</v>
      </c>
      <c r="E172" s="2158"/>
    </row>
    <row r="173" spans="1:5" ht="25.5" customHeight="1" x14ac:dyDescent="0.25">
      <c r="A173" s="2158"/>
      <c r="B173" s="2014"/>
      <c r="C173" s="1334" t="s">
        <v>48</v>
      </c>
      <c r="D173" s="2010" t="s">
        <v>1133</v>
      </c>
      <c r="E173" s="2158"/>
    </row>
    <row r="174" spans="1:5" ht="26.4" x14ac:dyDescent="0.25">
      <c r="A174" s="2158"/>
      <c r="B174" s="2014"/>
      <c r="C174" s="1334" t="s">
        <v>49</v>
      </c>
      <c r="D174" s="2010" t="s">
        <v>1134</v>
      </c>
      <c r="E174" s="2158"/>
    </row>
    <row r="175" spans="1:5" ht="26.1" customHeight="1" x14ac:dyDescent="0.25">
      <c r="A175" s="2158"/>
      <c r="B175" s="2014"/>
      <c r="C175" s="1334" t="s">
        <v>51</v>
      </c>
      <c r="D175" s="2010" t="s">
        <v>1382</v>
      </c>
      <c r="E175" s="2158"/>
    </row>
    <row r="176" spans="1:5" x14ac:dyDescent="0.25">
      <c r="A176" s="2158"/>
      <c r="B176" s="2014"/>
      <c r="C176" s="1334" t="s">
        <v>52</v>
      </c>
      <c r="D176" s="2010" t="s">
        <v>84</v>
      </c>
      <c r="E176" s="2158"/>
    </row>
    <row r="177" spans="1:5" x14ac:dyDescent="0.25">
      <c r="A177" s="2158"/>
      <c r="B177" s="2014"/>
      <c r="C177" s="1334" t="s">
        <v>59</v>
      </c>
      <c r="D177" s="2010" t="s">
        <v>1383</v>
      </c>
      <c r="E177" s="2158"/>
    </row>
    <row r="178" spans="1:5" x14ac:dyDescent="0.25">
      <c r="A178" s="2158"/>
      <c r="B178" s="2014"/>
      <c r="C178" s="1645"/>
      <c r="D178" s="2022" t="s">
        <v>56</v>
      </c>
      <c r="E178" s="2158"/>
    </row>
    <row r="179" spans="1:5" x14ac:dyDescent="0.25">
      <c r="A179" s="2158"/>
      <c r="B179" s="2257" t="s">
        <v>936</v>
      </c>
      <c r="C179" s="2258"/>
      <c r="D179" s="2259"/>
      <c r="E179" s="2158"/>
    </row>
    <row r="180" spans="1:5" ht="39.6" x14ac:dyDescent="0.25">
      <c r="A180" s="2158"/>
      <c r="B180" s="2014"/>
      <c r="C180" s="1334" t="s">
        <v>47</v>
      </c>
      <c r="D180" s="2010" t="s">
        <v>1384</v>
      </c>
      <c r="E180" s="2158"/>
    </row>
    <row r="181" spans="1:5" ht="26.4" x14ac:dyDescent="0.25">
      <c r="A181" s="2158"/>
      <c r="B181" s="2014"/>
      <c r="C181" s="1334" t="s">
        <v>48</v>
      </c>
      <c r="D181" s="2010" t="s">
        <v>1385</v>
      </c>
      <c r="E181" s="2158"/>
    </row>
    <row r="182" spans="1:5" ht="52.8" x14ac:dyDescent="0.25">
      <c r="A182" s="2158"/>
      <c r="B182" s="2014"/>
      <c r="C182" s="1334" t="s">
        <v>49</v>
      </c>
      <c r="D182" s="2010" t="s">
        <v>1135</v>
      </c>
      <c r="E182" s="2158"/>
    </row>
    <row r="183" spans="1:5" x14ac:dyDescent="0.25">
      <c r="A183" s="2158"/>
      <c r="B183" s="2014"/>
      <c r="C183" s="1334" t="s">
        <v>51</v>
      </c>
      <c r="D183" s="2010" t="s">
        <v>1375</v>
      </c>
      <c r="E183" s="2158"/>
    </row>
    <row r="184" spans="1:5" x14ac:dyDescent="0.25">
      <c r="A184" s="2158"/>
      <c r="B184" s="2014"/>
      <c r="C184" s="1645"/>
      <c r="D184" s="2022" t="s">
        <v>56</v>
      </c>
      <c r="E184" s="2158"/>
    </row>
    <row r="185" spans="1:5" x14ac:dyDescent="0.25">
      <c r="A185" s="2158"/>
      <c r="B185" s="2254" t="s">
        <v>85</v>
      </c>
      <c r="C185" s="2255"/>
      <c r="D185" s="2256"/>
      <c r="E185" s="2158"/>
    </row>
    <row r="186" spans="1:5" ht="26.4" x14ac:dyDescent="0.25">
      <c r="A186" s="2158"/>
      <c r="B186" s="2014"/>
      <c r="C186" s="1334" t="s">
        <v>47</v>
      </c>
      <c r="D186" s="2010" t="s">
        <v>86</v>
      </c>
      <c r="E186" s="2158"/>
    </row>
    <row r="187" spans="1:5" ht="26.4" x14ac:dyDescent="0.25">
      <c r="A187" s="2158"/>
      <c r="B187" s="2014"/>
      <c r="C187" s="1334" t="s">
        <v>48</v>
      </c>
      <c r="D187" s="2010" t="s">
        <v>87</v>
      </c>
      <c r="E187" s="2158"/>
    </row>
    <row r="188" spans="1:5" x14ac:dyDescent="0.25">
      <c r="A188" s="2158"/>
      <c r="B188" s="2014"/>
      <c r="C188" s="1334" t="s">
        <v>49</v>
      </c>
      <c r="D188" s="2010" t="s">
        <v>88</v>
      </c>
      <c r="E188" s="2158"/>
    </row>
    <row r="189" spans="1:5" x14ac:dyDescent="0.25">
      <c r="A189" s="2158"/>
      <c r="B189" s="2014"/>
      <c r="C189" s="1334"/>
      <c r="D189" s="2016" t="s">
        <v>89</v>
      </c>
      <c r="E189" s="2158"/>
    </row>
    <row r="190" spans="1:5" ht="26.4" x14ac:dyDescent="0.25">
      <c r="A190" s="2158"/>
      <c r="B190" s="2014"/>
      <c r="C190" s="1334"/>
      <c r="D190" s="2016" t="s">
        <v>1136</v>
      </c>
      <c r="E190" s="2158"/>
    </row>
    <row r="191" spans="1:5" ht="26.4" x14ac:dyDescent="0.25">
      <c r="A191" s="2158"/>
      <c r="B191" s="2014"/>
      <c r="C191" s="1334"/>
      <c r="D191" s="2016" t="s">
        <v>90</v>
      </c>
      <c r="E191" s="2158"/>
    </row>
    <row r="192" spans="1:5" ht="26.4" x14ac:dyDescent="0.25">
      <c r="A192" s="2158"/>
      <c r="B192" s="2014"/>
      <c r="C192" s="1334"/>
      <c r="D192" s="2016" t="s">
        <v>112</v>
      </c>
      <c r="E192" s="2158"/>
    </row>
    <row r="193" spans="1:5" x14ac:dyDescent="0.25">
      <c r="A193" s="2158"/>
      <c r="B193" s="2014"/>
      <c r="C193" s="1334"/>
      <c r="D193" s="2010" t="s">
        <v>1137</v>
      </c>
      <c r="E193" s="2158"/>
    </row>
    <row r="194" spans="1:5" x14ac:dyDescent="0.25">
      <c r="A194" s="2158"/>
      <c r="B194" s="2014"/>
      <c r="C194" s="1334" t="s">
        <v>51</v>
      </c>
      <c r="D194" s="2022" t="s">
        <v>1366</v>
      </c>
      <c r="E194" s="2158"/>
    </row>
    <row r="195" spans="1:5" x14ac:dyDescent="0.25">
      <c r="A195" s="2158"/>
      <c r="B195" s="2014"/>
      <c r="C195" s="1334"/>
      <c r="D195" s="2022"/>
      <c r="E195" s="2158"/>
    </row>
    <row r="196" spans="1:5" x14ac:dyDescent="0.25">
      <c r="A196" s="2158"/>
      <c r="B196" s="2254" t="s">
        <v>43</v>
      </c>
      <c r="C196" s="2255"/>
      <c r="D196" s="2256"/>
      <c r="E196" s="2158"/>
    </row>
    <row r="197" spans="1:5" ht="26.4" x14ac:dyDescent="0.25">
      <c r="A197" s="2158"/>
      <c r="B197" s="2014"/>
      <c r="C197" s="1334" t="s">
        <v>47</v>
      </c>
      <c r="D197" s="2010" t="s">
        <v>91</v>
      </c>
      <c r="E197" s="2158"/>
    </row>
    <row r="198" spans="1:5" x14ac:dyDescent="0.25">
      <c r="A198" s="2158"/>
      <c r="B198" s="2014"/>
      <c r="C198" s="1334" t="s">
        <v>48</v>
      </c>
      <c r="D198" s="2010" t="s">
        <v>1138</v>
      </c>
      <c r="E198" s="2158"/>
    </row>
    <row r="199" spans="1:5" x14ac:dyDescent="0.25">
      <c r="A199" s="2158"/>
      <c r="B199" s="2014"/>
      <c r="C199" s="1334"/>
      <c r="D199" s="2016" t="s">
        <v>92</v>
      </c>
      <c r="E199" s="2158"/>
    </row>
    <row r="200" spans="1:5" ht="26.4" x14ac:dyDescent="0.25">
      <c r="A200" s="2158"/>
      <c r="B200" s="2014"/>
      <c r="C200" s="1334"/>
      <c r="D200" s="2016" t="s">
        <v>93</v>
      </c>
      <c r="E200" s="2158"/>
    </row>
    <row r="201" spans="1:5" ht="26.4" x14ac:dyDescent="0.25">
      <c r="A201" s="2158"/>
      <c r="B201" s="2014"/>
      <c r="C201" s="1645"/>
      <c r="D201" s="2019" t="s">
        <v>94</v>
      </c>
      <c r="E201" s="2158"/>
    </row>
    <row r="202" spans="1:5" x14ac:dyDescent="0.25">
      <c r="A202" s="2158"/>
      <c r="B202" s="2257" t="s">
        <v>916</v>
      </c>
      <c r="C202" s="2258"/>
      <c r="D202" s="2259"/>
      <c r="E202" s="2158"/>
    </row>
    <row r="203" spans="1:5" ht="26.4" x14ac:dyDescent="0.25">
      <c r="A203" s="2158"/>
      <c r="B203" s="2014"/>
      <c r="C203" s="1645"/>
      <c r="D203" s="2019" t="s">
        <v>1139</v>
      </c>
      <c r="E203" s="2158"/>
    </row>
    <row r="204" spans="1:5" x14ac:dyDescent="0.25">
      <c r="A204" s="2158"/>
      <c r="B204" s="2014"/>
      <c r="C204" s="1645"/>
      <c r="D204" s="2019"/>
      <c r="E204" s="2158"/>
    </row>
    <row r="205" spans="1:5" x14ac:dyDescent="0.25">
      <c r="A205" s="2158"/>
      <c r="B205" s="2254" t="s">
        <v>95</v>
      </c>
      <c r="C205" s="2255"/>
      <c r="D205" s="2256"/>
      <c r="E205" s="2158"/>
    </row>
    <row r="206" spans="1:5" x14ac:dyDescent="0.25">
      <c r="A206" s="2158"/>
      <c r="B206" s="2014"/>
      <c r="C206" s="1334" t="s">
        <v>47</v>
      </c>
      <c r="D206" s="2010" t="s">
        <v>946</v>
      </c>
      <c r="E206" s="2158"/>
    </row>
    <row r="207" spans="1:5" x14ac:dyDescent="0.25">
      <c r="A207" s="2158"/>
      <c r="B207" s="2014"/>
      <c r="C207" s="1334" t="s">
        <v>48</v>
      </c>
      <c r="D207" s="2020" t="s">
        <v>96</v>
      </c>
      <c r="E207" s="2158"/>
    </row>
    <row r="208" spans="1:5" x14ac:dyDescent="0.25">
      <c r="A208" s="2158"/>
      <c r="B208" s="2014"/>
      <c r="C208" s="1334" t="s">
        <v>49</v>
      </c>
      <c r="D208" s="2020" t="s">
        <v>97</v>
      </c>
      <c r="E208" s="2158"/>
    </row>
    <row r="209" spans="1:5" ht="26.4" x14ac:dyDescent="0.25">
      <c r="A209" s="2158"/>
      <c r="B209" s="2014"/>
      <c r="C209" s="1334" t="s">
        <v>51</v>
      </c>
      <c r="D209" s="2010" t="s">
        <v>1140</v>
      </c>
      <c r="E209" s="2158"/>
    </row>
    <row r="210" spans="1:5" x14ac:dyDescent="0.25">
      <c r="A210" s="2158"/>
      <c r="B210" s="2014"/>
      <c r="C210" s="1334" t="s">
        <v>52</v>
      </c>
      <c r="D210" s="2010" t="s">
        <v>98</v>
      </c>
      <c r="E210" s="2158"/>
    </row>
    <row r="211" spans="1:5" x14ac:dyDescent="0.25">
      <c r="A211" s="2158"/>
      <c r="B211" s="2014"/>
      <c r="C211" s="1334" t="s">
        <v>59</v>
      </c>
      <c r="D211" s="2010" t="s">
        <v>1141</v>
      </c>
      <c r="E211" s="2158"/>
    </row>
    <row r="212" spans="1:5" x14ac:dyDescent="0.25">
      <c r="A212" s="2158"/>
      <c r="B212" s="2014"/>
      <c r="C212" s="1334" t="s">
        <v>60</v>
      </c>
      <c r="D212" s="2010" t="s">
        <v>99</v>
      </c>
      <c r="E212" s="2158"/>
    </row>
    <row r="213" spans="1:5" x14ac:dyDescent="0.25">
      <c r="A213" s="2158"/>
      <c r="B213" s="2014"/>
      <c r="C213" s="1334"/>
      <c r="D213" s="2010"/>
      <c r="E213" s="2158"/>
    </row>
    <row r="214" spans="1:5" x14ac:dyDescent="0.25">
      <c r="A214" s="2158"/>
      <c r="B214" s="2257" t="s">
        <v>947</v>
      </c>
      <c r="C214" s="2258"/>
      <c r="D214" s="2259"/>
      <c r="E214" s="2158"/>
    </row>
    <row r="215" spans="1:5" ht="26.4" x14ac:dyDescent="0.25">
      <c r="A215" s="2158"/>
      <c r="B215" s="2014"/>
      <c r="C215" s="1334" t="s">
        <v>47</v>
      </c>
      <c r="D215" s="2010" t="s">
        <v>1142</v>
      </c>
      <c r="E215" s="2158"/>
    </row>
    <row r="216" spans="1:5" x14ac:dyDescent="0.25">
      <c r="A216" s="2158"/>
      <c r="B216" s="2014"/>
      <c r="C216" s="1334" t="s">
        <v>48</v>
      </c>
      <c r="D216" s="2010" t="s">
        <v>100</v>
      </c>
      <c r="E216" s="2158"/>
    </row>
    <row r="217" spans="1:5" x14ac:dyDescent="0.25">
      <c r="A217" s="2158"/>
      <c r="B217" s="2014"/>
      <c r="C217" s="1334"/>
      <c r="D217" s="2010"/>
      <c r="E217" s="2158"/>
    </row>
    <row r="218" spans="1:5" x14ac:dyDescent="0.25">
      <c r="A218" s="2158"/>
      <c r="B218" s="2254" t="s">
        <v>1143</v>
      </c>
      <c r="C218" s="2255"/>
      <c r="D218" s="2256"/>
      <c r="E218" s="2158"/>
    </row>
    <row r="219" spans="1:5" ht="26.4" x14ac:dyDescent="0.25">
      <c r="A219" s="2158"/>
      <c r="B219" s="2014"/>
      <c r="C219" s="1334" t="s">
        <v>47</v>
      </c>
      <c r="D219" s="2010" t="s">
        <v>101</v>
      </c>
      <c r="E219" s="2158"/>
    </row>
    <row r="220" spans="1:5" x14ac:dyDescent="0.25">
      <c r="A220" s="2158"/>
      <c r="B220" s="2014"/>
      <c r="C220" s="1334"/>
      <c r="D220" s="2021"/>
      <c r="E220" s="2158"/>
    </row>
    <row r="221" spans="1:5" x14ac:dyDescent="0.25">
      <c r="A221" s="2158"/>
      <c r="B221" s="2254" t="s">
        <v>1144</v>
      </c>
      <c r="C221" s="2255"/>
      <c r="D221" s="2256"/>
      <c r="E221" s="2158"/>
    </row>
    <row r="222" spans="1:5" x14ac:dyDescent="0.25">
      <c r="A222" s="2158"/>
      <c r="B222" s="2014"/>
      <c r="C222" s="1334" t="s">
        <v>47</v>
      </c>
      <c r="D222" s="2010" t="s">
        <v>1146</v>
      </c>
      <c r="E222" s="2158"/>
    </row>
    <row r="223" spans="1:5" ht="39.6" x14ac:dyDescent="0.25">
      <c r="A223" s="2158"/>
      <c r="B223" s="2014"/>
      <c r="C223" s="1334" t="s">
        <v>48</v>
      </c>
      <c r="D223" s="2010" t="s">
        <v>1147</v>
      </c>
      <c r="E223" s="2158"/>
    </row>
    <row r="224" spans="1:5" ht="26.4" x14ac:dyDescent="0.25">
      <c r="A224" s="2158"/>
      <c r="B224" s="2014"/>
      <c r="C224" s="1334" t="s">
        <v>49</v>
      </c>
      <c r="D224" s="2021" t="s">
        <v>1148</v>
      </c>
      <c r="E224" s="2158"/>
    </row>
    <row r="225" spans="1:5" x14ac:dyDescent="0.25">
      <c r="A225" s="2158"/>
      <c r="B225" s="2014"/>
      <c r="C225" s="1334" t="s">
        <v>1149</v>
      </c>
      <c r="D225" s="2021" t="s">
        <v>1386</v>
      </c>
      <c r="E225" s="2158"/>
    </row>
    <row r="226" spans="1:5" x14ac:dyDescent="0.25">
      <c r="A226" s="2158"/>
      <c r="B226" s="2014"/>
      <c r="C226" s="1334" t="s">
        <v>1150</v>
      </c>
      <c r="D226" s="2021" t="s">
        <v>1151</v>
      </c>
      <c r="E226" s="2158"/>
    </row>
    <row r="227" spans="1:5" x14ac:dyDescent="0.25">
      <c r="A227" s="2158"/>
      <c r="B227" s="2014"/>
      <c r="C227" s="1334" t="s">
        <v>1152</v>
      </c>
      <c r="D227" s="2021" t="s">
        <v>1153</v>
      </c>
      <c r="E227" s="2158"/>
    </row>
    <row r="228" spans="1:5" x14ac:dyDescent="0.25">
      <c r="A228" s="2158"/>
      <c r="B228" s="2014"/>
      <c r="C228" s="1334" t="s">
        <v>1154</v>
      </c>
      <c r="D228" s="2021" t="s">
        <v>1155</v>
      </c>
      <c r="E228" s="2158"/>
    </row>
    <row r="229" spans="1:5" x14ac:dyDescent="0.25">
      <c r="A229" s="2158"/>
      <c r="B229" s="2014"/>
      <c r="C229" s="1334"/>
      <c r="D229" s="2021"/>
      <c r="E229" s="2158"/>
    </row>
    <row r="230" spans="1:5" x14ac:dyDescent="0.25">
      <c r="A230" s="2158"/>
      <c r="B230" s="2254" t="s">
        <v>1156</v>
      </c>
      <c r="C230" s="2255"/>
      <c r="D230" s="2256"/>
      <c r="E230" s="2158"/>
    </row>
    <row r="231" spans="1:5" x14ac:dyDescent="0.25">
      <c r="A231" s="2158"/>
      <c r="B231" s="2014"/>
      <c r="C231" s="1334" t="s">
        <v>47</v>
      </c>
      <c r="D231" s="2010" t="s">
        <v>1157</v>
      </c>
      <c r="E231" s="2158"/>
    </row>
    <row r="232" spans="1:5" ht="14.1" customHeight="1" x14ac:dyDescent="0.25">
      <c r="A232" s="2158"/>
      <c r="B232" s="2014"/>
      <c r="C232" s="1334" t="s">
        <v>48</v>
      </c>
      <c r="D232" s="2021" t="s">
        <v>1158</v>
      </c>
      <c r="E232" s="2158"/>
    </row>
    <row r="233" spans="1:5" x14ac:dyDescent="0.25">
      <c r="A233" s="2158"/>
      <c r="B233" s="2014"/>
      <c r="C233" s="1645"/>
      <c r="D233" s="2022" t="s">
        <v>56</v>
      </c>
      <c r="E233" s="2158"/>
    </row>
    <row r="234" spans="1:5" x14ac:dyDescent="0.25">
      <c r="A234" s="2158"/>
      <c r="B234" s="2254" t="s">
        <v>102</v>
      </c>
      <c r="C234" s="2255"/>
      <c r="D234" s="2256"/>
      <c r="E234" s="2158"/>
    </row>
    <row r="235" spans="1:5" ht="39.6" x14ac:dyDescent="0.25">
      <c r="A235" s="2158"/>
      <c r="B235" s="2014"/>
      <c r="C235" s="1334" t="s">
        <v>47</v>
      </c>
      <c r="D235" s="2010" t="s">
        <v>1159</v>
      </c>
      <c r="E235" s="2158"/>
    </row>
    <row r="236" spans="1:5" ht="26.4" x14ac:dyDescent="0.25">
      <c r="A236" s="2158"/>
      <c r="B236" s="2014"/>
      <c r="C236" s="1334" t="s">
        <v>48</v>
      </c>
      <c r="D236" s="2010" t="s">
        <v>1160</v>
      </c>
      <c r="E236" s="2158"/>
    </row>
    <row r="237" spans="1:5" ht="39.6" x14ac:dyDescent="0.25">
      <c r="A237" s="2158"/>
      <c r="B237" s="2014"/>
      <c r="C237" s="1334" t="s">
        <v>49</v>
      </c>
      <c r="D237" s="2010" t="s">
        <v>1159</v>
      </c>
      <c r="E237" s="2158"/>
    </row>
    <row r="238" spans="1:5" ht="26.4" x14ac:dyDescent="0.25">
      <c r="A238" s="2158"/>
      <c r="B238" s="2014"/>
      <c r="C238" s="1334" t="s">
        <v>51</v>
      </c>
      <c r="D238" s="2010" t="s">
        <v>103</v>
      </c>
      <c r="E238" s="2158"/>
    </row>
    <row r="239" spans="1:5" ht="39.6" x14ac:dyDescent="0.25">
      <c r="A239" s="2158"/>
      <c r="B239" s="2014"/>
      <c r="C239" s="1334" t="s">
        <v>52</v>
      </c>
      <c r="D239" s="2010" t="s">
        <v>1127</v>
      </c>
      <c r="E239" s="2158"/>
    </row>
    <row r="240" spans="1:5" x14ac:dyDescent="0.25">
      <c r="A240" s="2158"/>
      <c r="B240" s="2014"/>
      <c r="C240" s="1334" t="s">
        <v>59</v>
      </c>
      <c r="D240" s="2010" t="s">
        <v>104</v>
      </c>
      <c r="E240" s="2158"/>
    </row>
    <row r="241" spans="1:5" x14ac:dyDescent="0.25">
      <c r="A241" s="2158"/>
      <c r="B241" s="2014"/>
      <c r="C241" s="1334"/>
      <c r="D241" s="2010" t="s">
        <v>1161</v>
      </c>
      <c r="E241" s="2158"/>
    </row>
    <row r="242" spans="1:5" x14ac:dyDescent="0.25">
      <c r="A242" s="2158"/>
      <c r="B242" s="2014"/>
      <c r="C242" s="1334"/>
      <c r="D242" s="2010" t="s">
        <v>1162</v>
      </c>
      <c r="E242" s="2158"/>
    </row>
    <row r="243" spans="1:5" x14ac:dyDescent="0.25">
      <c r="A243" s="2158"/>
      <c r="B243" s="2014"/>
      <c r="C243" s="1334"/>
      <c r="D243" s="2010" t="s">
        <v>1163</v>
      </c>
      <c r="E243" s="2158"/>
    </row>
    <row r="244" spans="1:5" x14ac:dyDescent="0.25">
      <c r="A244" s="2158"/>
      <c r="B244" s="2014"/>
      <c r="C244" s="1334" t="s">
        <v>60</v>
      </c>
      <c r="D244" s="2010" t="s">
        <v>1164</v>
      </c>
      <c r="E244" s="2158"/>
    </row>
    <row r="245" spans="1:5" ht="26.4" x14ac:dyDescent="0.25">
      <c r="A245" s="2158"/>
      <c r="B245" s="2014"/>
      <c r="C245" s="1334" t="s">
        <v>75</v>
      </c>
      <c r="D245" s="2010" t="s">
        <v>105</v>
      </c>
      <c r="E245" s="2158"/>
    </row>
    <row r="246" spans="1:5" ht="26.4" x14ac:dyDescent="0.25">
      <c r="A246" s="2158"/>
      <c r="B246" s="2014"/>
      <c r="C246" s="1334" t="s">
        <v>1166</v>
      </c>
      <c r="D246" s="2022" t="s">
        <v>1165</v>
      </c>
      <c r="E246" s="2158"/>
    </row>
    <row r="247" spans="1:5" x14ac:dyDescent="0.25">
      <c r="A247" s="2158"/>
      <c r="B247" s="2014"/>
      <c r="C247" s="1334" t="s">
        <v>1167</v>
      </c>
      <c r="D247" s="2022" t="s">
        <v>106</v>
      </c>
      <c r="E247" s="2158"/>
    </row>
    <row r="248" spans="1:5" x14ac:dyDescent="0.25">
      <c r="A248" s="2158"/>
      <c r="B248" s="2014"/>
      <c r="C248" s="1645" t="s">
        <v>1169</v>
      </c>
      <c r="D248" s="2022" t="s">
        <v>1168</v>
      </c>
      <c r="E248" s="2158"/>
    </row>
    <row r="249" spans="1:5" x14ac:dyDescent="0.25">
      <c r="A249" s="2158"/>
      <c r="B249" s="2014"/>
      <c r="C249" s="1645"/>
      <c r="D249" s="2022"/>
      <c r="E249" s="2158"/>
    </row>
    <row r="250" spans="1:5" x14ac:dyDescent="0.25">
      <c r="A250" s="2158"/>
      <c r="B250" s="2254" t="s">
        <v>107</v>
      </c>
      <c r="C250" s="2255"/>
      <c r="D250" s="2256"/>
      <c r="E250" s="2158"/>
    </row>
    <row r="251" spans="1:5" x14ac:dyDescent="0.25">
      <c r="A251" s="2158"/>
      <c r="B251" s="2014"/>
      <c r="C251" s="1334" t="s">
        <v>47</v>
      </c>
      <c r="D251" s="2010" t="s">
        <v>108</v>
      </c>
      <c r="E251" s="2158"/>
    </row>
    <row r="252" spans="1:5" ht="26.4" x14ac:dyDescent="0.25">
      <c r="A252" s="2158"/>
      <c r="B252" s="2014"/>
      <c r="C252" s="1334" t="s">
        <v>48</v>
      </c>
      <c r="D252" s="2010" t="s">
        <v>109</v>
      </c>
      <c r="E252" s="2158"/>
    </row>
    <row r="253" spans="1:5" x14ac:dyDescent="0.25">
      <c r="A253" s="2158"/>
      <c r="B253" s="2014"/>
      <c r="C253" s="1334" t="s">
        <v>49</v>
      </c>
      <c r="D253" s="2010" t="s">
        <v>110</v>
      </c>
      <c r="E253" s="2158"/>
    </row>
    <row r="254" spans="1:5" ht="26.4" x14ac:dyDescent="0.25">
      <c r="A254" s="2158"/>
      <c r="B254" s="2014"/>
      <c r="C254" s="1334"/>
      <c r="D254" s="2016" t="s">
        <v>1170</v>
      </c>
      <c r="E254" s="2158"/>
    </row>
    <row r="255" spans="1:5" ht="39.6" x14ac:dyDescent="0.25">
      <c r="A255" s="2158"/>
      <c r="B255" s="2014"/>
      <c r="C255" s="1334"/>
      <c r="D255" s="2016" t="s">
        <v>1171</v>
      </c>
      <c r="E255" s="2158"/>
    </row>
    <row r="256" spans="1:5" ht="26.4" x14ac:dyDescent="0.25">
      <c r="A256" s="2158"/>
      <c r="B256" s="2014"/>
      <c r="C256" s="1334" t="s">
        <v>51</v>
      </c>
      <c r="D256" s="2010" t="s">
        <v>948</v>
      </c>
      <c r="E256" s="2158"/>
    </row>
    <row r="257" spans="1:5" x14ac:dyDescent="0.25">
      <c r="A257" s="2158"/>
      <c r="B257" s="2014"/>
      <c r="C257" s="1334" t="s">
        <v>52</v>
      </c>
      <c r="D257" s="2010" t="s">
        <v>949</v>
      </c>
      <c r="E257" s="2158"/>
    </row>
    <row r="258" spans="1:5" x14ac:dyDescent="0.25">
      <c r="A258" s="2158"/>
      <c r="B258" s="2014"/>
      <c r="C258" s="1334"/>
      <c r="D258" s="2016" t="s">
        <v>89</v>
      </c>
      <c r="E258" s="2158"/>
    </row>
    <row r="259" spans="1:5" x14ac:dyDescent="0.25">
      <c r="A259" s="2158"/>
      <c r="B259" s="2014"/>
      <c r="C259" s="1334"/>
      <c r="D259" s="2016" t="s">
        <v>111</v>
      </c>
      <c r="E259" s="2158"/>
    </row>
    <row r="260" spans="1:5" ht="26.4" x14ac:dyDescent="0.25">
      <c r="A260" s="2158"/>
      <c r="B260" s="2014"/>
      <c r="C260" s="1334"/>
      <c r="D260" s="2016" t="s">
        <v>1172</v>
      </c>
      <c r="E260" s="2158"/>
    </row>
    <row r="261" spans="1:5" x14ac:dyDescent="0.25">
      <c r="A261" s="2158"/>
      <c r="B261" s="2014"/>
      <c r="C261" s="1334"/>
      <c r="D261" s="2016" t="s">
        <v>1173</v>
      </c>
      <c r="E261" s="2158"/>
    </row>
    <row r="262" spans="1:5" ht="26.4" x14ac:dyDescent="0.25">
      <c r="A262" s="2158"/>
      <c r="B262" s="2014"/>
      <c r="C262" s="1334"/>
      <c r="D262" s="2016" t="s">
        <v>1174</v>
      </c>
      <c r="E262" s="2158"/>
    </row>
    <row r="263" spans="1:5" x14ac:dyDescent="0.25">
      <c r="A263" s="2158"/>
      <c r="B263" s="2014"/>
      <c r="C263" s="1334"/>
      <c r="D263" s="2016" t="s">
        <v>1175</v>
      </c>
      <c r="E263" s="2158"/>
    </row>
    <row r="264" spans="1:5" x14ac:dyDescent="0.25">
      <c r="A264" s="2158"/>
      <c r="B264" s="2014"/>
      <c r="C264" s="1334"/>
      <c r="D264" s="2023" t="s">
        <v>1176</v>
      </c>
      <c r="E264" s="2158"/>
    </row>
    <row r="265" spans="1:5" x14ac:dyDescent="0.25">
      <c r="A265" s="2158"/>
      <c r="B265" s="2014"/>
      <c r="C265" s="1334" t="s">
        <v>59</v>
      </c>
      <c r="D265" s="2010" t="s">
        <v>113</v>
      </c>
      <c r="E265" s="2158"/>
    </row>
    <row r="266" spans="1:5" x14ac:dyDescent="0.25">
      <c r="A266" s="2158"/>
      <c r="B266" s="2014"/>
      <c r="C266" s="1645"/>
      <c r="D266" s="2022" t="s">
        <v>56</v>
      </c>
      <c r="E266" s="2158"/>
    </row>
    <row r="267" spans="1:5" x14ac:dyDescent="0.25">
      <c r="A267" s="2158"/>
      <c r="B267" s="2257" t="s">
        <v>45</v>
      </c>
      <c r="C267" s="2258"/>
      <c r="D267" s="2259"/>
      <c r="E267" s="2158"/>
    </row>
    <row r="268" spans="1:5" ht="26.4" x14ac:dyDescent="0.25">
      <c r="A268" s="2158"/>
      <c r="B268" s="2014"/>
      <c r="C268" s="1334" t="s">
        <v>47</v>
      </c>
      <c r="D268" s="2010" t="s">
        <v>114</v>
      </c>
      <c r="E268" s="2158"/>
    </row>
    <row r="269" spans="1:5" x14ac:dyDescent="0.25">
      <c r="A269" s="2158"/>
      <c r="B269" s="2014"/>
      <c r="C269" s="1334" t="s">
        <v>48</v>
      </c>
      <c r="D269" s="2010" t="s">
        <v>115</v>
      </c>
      <c r="E269" s="2158"/>
    </row>
    <row r="270" spans="1:5" x14ac:dyDescent="0.25">
      <c r="A270" s="2158"/>
      <c r="B270" s="2014"/>
      <c r="C270" s="1334" t="s">
        <v>49</v>
      </c>
      <c r="D270" s="2010" t="s">
        <v>116</v>
      </c>
      <c r="E270" s="2158"/>
    </row>
    <row r="271" spans="1:5" x14ac:dyDescent="0.25">
      <c r="A271" s="2158"/>
      <c r="B271" s="2014"/>
      <c r="C271" s="1645"/>
      <c r="D271" s="2022" t="s">
        <v>56</v>
      </c>
      <c r="E271" s="2158"/>
    </row>
    <row r="272" spans="1:5" x14ac:dyDescent="0.25">
      <c r="A272" s="2158"/>
      <c r="B272" s="2254" t="s">
        <v>46</v>
      </c>
      <c r="C272" s="2260"/>
      <c r="D272" s="2261"/>
      <c r="E272" s="2158"/>
    </row>
    <row r="273" spans="1:5" x14ac:dyDescent="0.25">
      <c r="A273" s="2158"/>
      <c r="B273" s="2014"/>
      <c r="C273" s="1334" t="s">
        <v>47</v>
      </c>
      <c r="D273" s="2020" t="s">
        <v>1177</v>
      </c>
      <c r="E273" s="2158"/>
    </row>
    <row r="274" spans="1:5" x14ac:dyDescent="0.25">
      <c r="A274" s="2158"/>
      <c r="B274" s="2014"/>
      <c r="C274" s="1334" t="s">
        <v>48</v>
      </c>
      <c r="D274" s="2010" t="s">
        <v>1178</v>
      </c>
      <c r="E274" s="2158"/>
    </row>
    <row r="275" spans="1:5" x14ac:dyDescent="0.25">
      <c r="A275" s="2158"/>
      <c r="B275" s="2014"/>
      <c r="C275" s="1334" t="s">
        <v>49</v>
      </c>
      <c r="D275" s="2010" t="s">
        <v>117</v>
      </c>
      <c r="E275" s="2158"/>
    </row>
    <row r="276" spans="1:5" x14ac:dyDescent="0.25">
      <c r="A276" s="2158"/>
      <c r="B276" s="2014"/>
      <c r="C276" s="1334" t="s">
        <v>950</v>
      </c>
      <c r="D276" s="2010" t="s">
        <v>1179</v>
      </c>
      <c r="E276" s="2158"/>
    </row>
    <row r="277" spans="1:5" x14ac:dyDescent="0.25">
      <c r="A277" s="2158"/>
      <c r="B277" s="2014"/>
      <c r="C277" s="1334"/>
      <c r="D277" s="2010"/>
      <c r="E277" s="2158"/>
    </row>
    <row r="278" spans="1:5" x14ac:dyDescent="0.25">
      <c r="A278" s="2158"/>
      <c r="B278" s="2251" t="s">
        <v>118</v>
      </c>
      <c r="C278" s="2252"/>
      <c r="D278" s="2253"/>
      <c r="E278" s="2158"/>
    </row>
    <row r="279" spans="1:5" x14ac:dyDescent="0.25">
      <c r="A279" s="2158"/>
      <c r="B279" s="2014"/>
      <c r="C279" s="1645"/>
      <c r="D279" s="2024" t="s">
        <v>119</v>
      </c>
      <c r="E279" s="2158"/>
    </row>
    <row r="280" spans="1:5" ht="36.6" customHeight="1" x14ac:dyDescent="0.25">
      <c r="A280" s="2158"/>
      <c r="B280" s="2014"/>
      <c r="C280" s="2025" t="s">
        <v>47</v>
      </c>
      <c r="D280" s="2026" t="s">
        <v>1180</v>
      </c>
      <c r="E280" s="2158"/>
    </row>
    <row r="281" spans="1:5" x14ac:dyDescent="0.25">
      <c r="A281" s="2158"/>
      <c r="B281" s="2014"/>
      <c r="C281" s="1645" t="s">
        <v>48</v>
      </c>
      <c r="D281" s="2027" t="s">
        <v>1181</v>
      </c>
      <c r="E281" s="2158"/>
    </row>
    <row r="282" spans="1:5" ht="26.4" x14ac:dyDescent="0.25">
      <c r="A282" s="2158"/>
      <c r="B282" s="2014"/>
      <c r="C282" s="1643"/>
      <c r="D282" s="2016" t="s">
        <v>1184</v>
      </c>
      <c r="E282" s="2158"/>
    </row>
    <row r="283" spans="1:5" ht="39.6" x14ac:dyDescent="0.25">
      <c r="A283" s="2158"/>
      <c r="B283" s="2014"/>
      <c r="C283" s="1334"/>
      <c r="D283" s="2016" t="s">
        <v>1183</v>
      </c>
      <c r="E283" s="2158"/>
    </row>
    <row r="284" spans="1:5" ht="52.8" x14ac:dyDescent="0.25">
      <c r="A284" s="2158"/>
      <c r="B284" s="2014"/>
      <c r="C284" s="1644"/>
      <c r="D284" s="2016" t="s">
        <v>1182</v>
      </c>
      <c r="E284" s="2158"/>
    </row>
    <row r="285" spans="1:5" ht="26.4" x14ac:dyDescent="0.25">
      <c r="A285" s="2158"/>
      <c r="B285" s="2014"/>
      <c r="C285" s="1644"/>
      <c r="D285" s="2016" t="s">
        <v>1185</v>
      </c>
      <c r="E285" s="2158"/>
    </row>
    <row r="286" spans="1:5" x14ac:dyDescent="0.25">
      <c r="A286" s="2158"/>
      <c r="B286" s="2014"/>
      <c r="C286" s="1644"/>
      <c r="D286" s="2016" t="s">
        <v>1186</v>
      </c>
      <c r="E286" s="2158"/>
    </row>
    <row r="287" spans="1:5" x14ac:dyDescent="0.25">
      <c r="A287" s="2158"/>
      <c r="B287" s="2014"/>
      <c r="C287" s="1645" t="s">
        <v>49</v>
      </c>
      <c r="D287" s="2031" t="s">
        <v>124</v>
      </c>
      <c r="E287" s="2158"/>
    </row>
    <row r="288" spans="1:5" x14ac:dyDescent="0.25">
      <c r="A288" s="2158"/>
      <c r="B288" s="2014"/>
      <c r="C288" s="1644"/>
      <c r="D288" s="2016" t="s">
        <v>1187</v>
      </c>
      <c r="E288" s="2158"/>
    </row>
    <row r="289" spans="1:5" x14ac:dyDescent="0.25">
      <c r="A289" s="2158"/>
      <c r="B289" s="2014"/>
      <c r="C289" s="1644"/>
      <c r="D289" s="2028" t="s">
        <v>1188</v>
      </c>
      <c r="E289" s="2158"/>
    </row>
    <row r="290" spans="1:5" x14ac:dyDescent="0.25">
      <c r="A290" s="2158"/>
      <c r="B290" s="2014"/>
      <c r="C290" s="1644"/>
      <c r="D290" s="2016" t="s">
        <v>1189</v>
      </c>
      <c r="E290" s="2158"/>
    </row>
    <row r="291" spans="1:5" x14ac:dyDescent="0.25">
      <c r="A291" s="2158"/>
      <c r="B291" s="2014"/>
      <c r="C291" s="1644"/>
      <c r="D291" s="2016" t="s">
        <v>1190</v>
      </c>
      <c r="E291" s="2158"/>
    </row>
    <row r="292" spans="1:5" ht="39.6" x14ac:dyDescent="0.25">
      <c r="A292" s="2158"/>
      <c r="B292" s="2014"/>
      <c r="C292" s="1644"/>
      <c r="D292" s="2016" t="s">
        <v>1191</v>
      </c>
      <c r="E292" s="2158"/>
    </row>
    <row r="293" spans="1:5" x14ac:dyDescent="0.25">
      <c r="A293" s="2158"/>
      <c r="B293" s="2014"/>
      <c r="C293" s="1644"/>
      <c r="D293" s="2016" t="s">
        <v>1192</v>
      </c>
      <c r="E293" s="2158"/>
    </row>
    <row r="294" spans="1:5" x14ac:dyDescent="0.25">
      <c r="A294" s="2158"/>
      <c r="B294" s="2014"/>
      <c r="C294" s="1644"/>
      <c r="D294" s="2026" t="s">
        <v>1194</v>
      </c>
      <c r="E294" s="2158"/>
    </row>
    <row r="295" spans="1:5" ht="52.8" x14ac:dyDescent="0.25">
      <c r="A295" s="2158"/>
      <c r="B295" s="2029"/>
      <c r="C295" s="1644"/>
      <c r="D295" s="2016" t="s">
        <v>1193</v>
      </c>
      <c r="E295" s="2158"/>
    </row>
    <row r="296" spans="1:5" ht="26.4" x14ac:dyDescent="0.25">
      <c r="A296" s="2158"/>
      <c r="B296" s="2014"/>
      <c r="C296" s="1644"/>
      <c r="D296" s="2016" t="s">
        <v>1196</v>
      </c>
      <c r="E296" s="2158"/>
    </row>
    <row r="297" spans="1:5" ht="13.5" customHeight="1" x14ac:dyDescent="0.25">
      <c r="A297" s="2158"/>
      <c r="B297" s="2014"/>
      <c r="C297" s="1644"/>
      <c r="D297" s="2030" t="s">
        <v>1195</v>
      </c>
      <c r="E297" s="2158"/>
    </row>
    <row r="298" spans="1:5" ht="13.5" customHeight="1" x14ac:dyDescent="0.25">
      <c r="A298" s="2158"/>
      <c r="B298" s="2014"/>
      <c r="C298" s="1645" t="s">
        <v>51</v>
      </c>
      <c r="D298" s="2031" t="s">
        <v>1197</v>
      </c>
      <c r="E298" s="2158"/>
    </row>
    <row r="299" spans="1:5" ht="14.4" customHeight="1" x14ac:dyDescent="0.25">
      <c r="A299" s="2158"/>
      <c r="B299" s="2014"/>
      <c r="C299" s="1644"/>
      <c r="D299" s="2005" t="s">
        <v>1198</v>
      </c>
      <c r="E299" s="2158"/>
    </row>
    <row r="300" spans="1:5" ht="13.5" customHeight="1" x14ac:dyDescent="0.25">
      <c r="A300" s="2158"/>
      <c r="B300" s="2014"/>
      <c r="C300" s="1644"/>
      <c r="D300" s="2030"/>
      <c r="E300" s="2158"/>
    </row>
    <row r="301" spans="1:5" ht="13.8" thickBot="1" x14ac:dyDescent="0.3">
      <c r="A301" s="2158"/>
      <c r="B301" s="2168"/>
      <c r="C301" s="2167"/>
      <c r="D301" s="2166"/>
      <c r="E301" s="2164"/>
    </row>
    <row r="302" spans="1:5" ht="29.25" customHeight="1" x14ac:dyDescent="0.25">
      <c r="A302" s="2158"/>
      <c r="B302" s="2158"/>
      <c r="C302" s="2158"/>
      <c r="D302" s="2158"/>
      <c r="E302" s="2164"/>
    </row>
    <row r="303" spans="1:5" x14ac:dyDescent="0.25">
      <c r="A303" s="2165"/>
      <c r="B303" s="2165"/>
      <c r="C303" s="2165"/>
      <c r="D303" s="2165"/>
    </row>
  </sheetData>
  <sheetProtection password="E593" sheet="1" objects="1" scenarios="1"/>
  <mergeCells count="32">
    <mergeCell ref="B51:D51"/>
    <mergeCell ref="B57:D57"/>
    <mergeCell ref="B79:D79"/>
    <mergeCell ref="B100:D100"/>
    <mergeCell ref="B3:D3"/>
    <mergeCell ref="B4:D4"/>
    <mergeCell ref="B5:D5"/>
    <mergeCell ref="B41:D41"/>
    <mergeCell ref="B48:D48"/>
    <mergeCell ref="B107:D107"/>
    <mergeCell ref="B116:D116"/>
    <mergeCell ref="B214:D214"/>
    <mergeCell ref="B131:D131"/>
    <mergeCell ref="B139:D139"/>
    <mergeCell ref="B145:D145"/>
    <mergeCell ref="B153:D153"/>
    <mergeCell ref="B163:D163"/>
    <mergeCell ref="B171:D171"/>
    <mergeCell ref="B179:D179"/>
    <mergeCell ref="B125:D125"/>
    <mergeCell ref="B185:D185"/>
    <mergeCell ref="B196:D196"/>
    <mergeCell ref="B202:D202"/>
    <mergeCell ref="B205:D205"/>
    <mergeCell ref="B272:D272"/>
    <mergeCell ref="B278:D278"/>
    <mergeCell ref="B218:D218"/>
    <mergeCell ref="B221:D221"/>
    <mergeCell ref="B230:D230"/>
    <mergeCell ref="B234:D234"/>
    <mergeCell ref="B250:D250"/>
    <mergeCell ref="B267:D267"/>
  </mergeCells>
  <hyperlinks>
    <hyperlink ref="B41" location="'F3000'!A1" display="1.      Form #3000 – Application to Increase Rates"/>
    <hyperlink ref="B48" location="'F3001'!A1" display="2.      Form #3001 – Telephonic Hearing Questionnaire form"/>
    <hyperlink ref="B51" location="Attach1!A1" display="3.   Attachment 1 – Listing of Largest Customers Billed During Latest 12 Months"/>
    <hyperlink ref="B100" location="AttachAB4!A1" display="6.      Attachment 4 – Public Fire Protection Revenue-Test Year Summary"/>
    <hyperlink ref="B107" location="AttachAB4.1!A1" display="7.   Attachment 4.1 – Public Fire Protection Revenue-Test Year Detail"/>
    <hyperlink ref="B116" location="AttachAB4.2!A1" display="8.   Attachment 4.2 – Private Fire Protection Revenue-Test Year Detail"/>
    <hyperlink ref="B125" location="AttachAB5!A1" display="9.   Attachment 5 – Operating Revenues-Test Year Summary"/>
    <hyperlink ref="B131" location="AttachAB6!A1" display="10.  Attachment 6 – Taxes-Test Year Summary"/>
    <hyperlink ref="B145" location="AttachAB7!A1" display="12.  Attachment 7 – Operating Expenses"/>
    <hyperlink ref="B171" location="AttachAB8.1!A1" display="14.  Attachment 8.1 – Depreciation Accrual and Expenses"/>
    <hyperlink ref="B185" location="AttachAB10!A1" display="16.  Attachment 10 – Estimated Rate Base, Requested Rate of Return and Increase Requested"/>
    <hyperlink ref="B196" location="AttachAB11!A1" display="17.  Attachment 11 – Financing and Debt Summary"/>
    <hyperlink ref="B205" location="AttachAB13!A1" display="19.  Attachment 13 – Miscellaneous "/>
    <hyperlink ref="B234" location="AttachAB15!A1" display="21.  Attachment 15 – Step II Major Plant Detail"/>
    <hyperlink ref="B250" location="AttachAB16!A1" display="22.  Attachment 16 – Step II Summary"/>
    <hyperlink ref="B51:D51" location="Attach1!A1" tooltip="Click to open Attachment 1" display="Attachment 1 – Listing of Largest Customers Billed During Latest 12 Months"/>
    <hyperlink ref="B48:D48" location="Hearing!A1" tooltip="Click to open Hearing" display="Hearing – Telephonic Hearing Information"/>
    <hyperlink ref="B41:D41" location="Contact_Info!A1" tooltip="Click to open Form #3024" display="Contact Info – Application to Increase Rates Form"/>
    <hyperlink ref="B100:D100" location="Attach4!A1" tooltip="Click to open Attachment 4" display="Attachment 4 – Public Fire Protection Revenue-Test Year Summary"/>
    <hyperlink ref="B107:D107" location="Attach5!A1" tooltip="Click to open Attachment 5" display="Attachment 5 – Public Fire Protection Revenue-Test Year Detail"/>
    <hyperlink ref="B116:D116" location="Attach6!A1" tooltip="Click to open Attachment 6" display="Attachment 6 – Private Fire Protection Revenue-Test Year Detail"/>
    <hyperlink ref="B125:D125" location="Attach7!A1" tooltip="Click to open Attachment 7" display="Attachment 7 – Operating Revenues-Test Year Summary"/>
    <hyperlink ref="B131:D131" location="Attach8!A1" tooltip="Click to open Attachment 8" display="Attachment 8 – Taxes-Test Year Summary"/>
    <hyperlink ref="B145:D145" location="Attach10_AB!A1" tooltip="Click to open Attachment 10" display="Attachment 10 – Operating Expenses"/>
    <hyperlink ref="B278:D278" location="Attach23!A1" tooltip="Click to go to Attachment22" display="Attachment 23 – Filing the Application to Increase Water Rates (Rate Application)"/>
    <hyperlink ref="B272:D272" location="MainMenu!C32" tooltip="Click to go to Final Edit Checks" display="Run Final Edit"/>
    <hyperlink ref="B171:D171" location="Attach12!A1" display="Attachment 12 – Depreciation Accrual and Expenses"/>
    <hyperlink ref="B185:D185" location="Attach14!A1" display="Attachment 14 – Estimated Rate Base, Requested Rate of Return and Increase Requested"/>
    <hyperlink ref="B196:D196" location="Attach15!A1" display="Attachment 15 – Financing and Debt Summary"/>
    <hyperlink ref="B205:D205" location="Attach17!A1" display="Attachment 17 – Miscellaneous "/>
    <hyperlink ref="B234:D234" location="Attach20!A1" display="Attachment 20 – Step II Major Plant Detail"/>
    <hyperlink ref="B250:D250" location="Attach21!A1" display="Attachment 21 – Step II Summary"/>
    <hyperlink ref="B218" location="AttachAB14!A1" display="20.  Attachment 14 – Notes"/>
    <hyperlink ref="B218:D218" location="Attach19!A1" display="Attachment 19 – Notes"/>
    <hyperlink ref="B57:D57" location="Attach2A!A1" display="Attachment 2A – Consumer Analysis-Actual Latest 12 Months (Volume Sales)"/>
    <hyperlink ref="B66" location="Attach2B!A1" display="Attachment 2B - Consumer Analysis - Actual Latest 12 Months (Service Charges)"/>
    <hyperlink ref="B75" location="Attach2C!A1" display="Attachment 2C - Sales Historical Data and Forecasts"/>
    <hyperlink ref="B79:D79" location="Attach3A!A1" display="Attachment 3A – Consumer Analysis-Test Year (Volume Sales) "/>
    <hyperlink ref="B87" location="Attach3B!A1" display="Attachment 3B - Consumer Analysis - Test Year (Service Charges)"/>
    <hyperlink ref="B94" location="Attach3W!A1" display="Attachment 3W - Wholesale Revenues"/>
    <hyperlink ref="B139:D139" location="Attach9!A1" display="Attachment 9 – Property in Lieu of Tax Expense"/>
    <hyperlink ref="B153:D153" location="Attach11!A1" display="Attachment 11 – Utility Plant in Service - Financed by Utility or Municipality"/>
    <hyperlink ref="B163:D163" location="Attach11a!A1" display="Attachment 11a– Utility Plant in Service--Contributed Plant"/>
    <hyperlink ref="B179:D179" location="Attach13!A1" display="Attachment 13 – Accumulated Depreciation, Materials and Supplies Inventory, Regulatory Liability and Other Adjustments"/>
    <hyperlink ref="B202:D202" location="Attach16!A1" display="Attachment 16 – Impact Fees"/>
    <hyperlink ref="B214:D214" location="Attach18!A1" display="Attachment 18 – Water Conservation Spending"/>
    <hyperlink ref="B267:D267" location="Attach22!A1" display="Attachment 22 – Step II Notes"/>
    <hyperlink ref="D43" r:id="rId1"/>
    <hyperlink ref="D46" r:id="rId2"/>
    <hyperlink ref="D165" r:id="rId3"/>
    <hyperlink ref="B221" location="Attach19a!A1" display="Attachment 19a - Require Supplemntal Information"/>
    <hyperlink ref="B230" location="Attach19b!Print_Area" display="Attachment 19b - Credit Card Fees"/>
    <hyperlink ref="D264" r:id="rId4"/>
    <hyperlink ref="D289" r:id="rId5" display="https://apps.psc.wi.gov/ERF/ERF/ERFhome.aspx"/>
    <hyperlink ref="D297" r:id="rId6" display="  PSCRecordsMail@wisconsin.gov. "/>
    <hyperlink ref="D299" r:id="rId7" display="mailto:PSCWaterAppMail@wisconsin.gov"/>
    <hyperlink ref="D9" location="Instructions!A55" tooltip="Go to Instruction narrative" display="Attachment 1 – Listing of Largest Customers Billed During Latest 12 Months"/>
    <hyperlink ref="D16" location="Instructions!A105" tooltip="Go to Instruction narrative" display="Attachment 4 – Public Fire Protection Revenue-Test Year (Summary)"/>
    <hyperlink ref="D17" location="Instructions!A114" tooltip="Go to Instruction narrative" display="Attachment 5 – Public Fire Protection Revenue-Test Year (Detail)"/>
    <hyperlink ref="D18" location="Instructions!A123" tooltip="Go to Instruction narrative" display="Attachment 6 – Private Fire Protection Revenue-Test Year"/>
    <hyperlink ref="D19" location="Instructions!A129" tooltip="Go to Instruction narrative" display="Attachment 7 – Operating Revenues-Test Year (Summary)"/>
    <hyperlink ref="D20" location="Instructions!A137" tooltip="Go to Instruction narrative" display="Attachment 8 – Taxes-Test Year Summary"/>
    <hyperlink ref="D22" location="Instructions!A151" tooltip="Go to Instruction narrative" display="Attachment 10 – Operating Expenses"/>
    <hyperlink ref="D23" location="Instructions!A161" tooltip="Go to Instruction narrative" display="Attachment 11 and 11a– Utility Plant in Service"/>
    <hyperlink ref="D24" location="Instructions!A169" tooltip="Go to Instruction narrative" display="Attachment 12 – Depreciation Accrual and Expenses"/>
    <hyperlink ref="D27" location="Instructions!A201" tooltip="Go to Instruction narrative" display="Attachment 15 – Financing and Debt Summary"/>
    <hyperlink ref="D29" location="Instructions!A213" tooltip="Go to Instruction narrative" display="Attachment 17 – Miscellaneous Information"/>
    <hyperlink ref="D36" location="Instructions!A272" tooltip="Go to Instruction narrative" display="Attachment 22 – Step II Notes"/>
    <hyperlink ref="D8" location="Instructions!A49" tooltip="Go to Instruction narrative" display="Hearing – Telephonic Hearing Information"/>
    <hyperlink ref="D7" location="Instructions!A46" tooltip="Go to Instruction narrative" display="Contact Info – Application to Increase Rates Form"/>
    <hyperlink ref="D26" location="Instructions!A194" tooltip="Go to Instruction narrative" display="Attachment 14 – Estimated Rate Base and Increase Requested"/>
    <hyperlink ref="D31" location="Instructions!A221" display="Attachment 19 - Notes"/>
    <hyperlink ref="D10" location="Instructions!A64" display="Attachment 2A – Consumer Analysis-Actual Latest 12 Months (Volume Sales)"/>
    <hyperlink ref="D11" location="Instructions!A73" display="Attachment 2B - Consumer Analysis - Actual Latest 12 Months (Service Charges)"/>
    <hyperlink ref="D12" location="Instructions!A77" display="Attachment 2C - Sales Historical Data and Forecasts"/>
    <hyperlink ref="D13" location="Instructions!A85" display="Attachment 3A – Consumer Analysis-Test Year (Volume Sales)"/>
    <hyperlink ref="D14" location="Instructions!A92" display="Attachment 3B - Consumer Analysis - Test Year (Service Charges)"/>
    <hyperlink ref="D15" location="Instructions!A98" display="Attachment 3W - Wholesale Revenues"/>
    <hyperlink ref="D21" location="Instructions!A143" display="Attachment 9 – Payment in Lieu of Tax Expense"/>
    <hyperlink ref="D25" location="Instructions!A183" display="Attachment 13 –  Accumulated Depreciation, Materials &amp; Supplies Inventory, Regulatory Liability, and Other Adjustments"/>
    <hyperlink ref="D28" location="Instructions!A204" display="Attachment 16 – Impact Fees"/>
    <hyperlink ref="D30" location="Instructions!A217" display="Attachment 18 - Water Conservation Spending"/>
    <hyperlink ref="D34" location="Instructions!A250" display="Attachment 20 – Step II Major Plant Detail"/>
    <hyperlink ref="D35" location="Instructions!A267" display="Attachment 21 – Step II Summary"/>
    <hyperlink ref="D37" location="Instructions!A278" display="Run Final Edit"/>
    <hyperlink ref="D38" location="Instructions!A299" display="Attachment 23 – Directions for Submitting Application to PSC"/>
    <hyperlink ref="D32" location="Instructions!A230" display="Attachment 19a - Required Supplemental Information"/>
    <hyperlink ref="D33" location="Instructions!A234" display="Attachment 19b - Credit Card Fees"/>
  </hyperlinks>
  <pageMargins left="0.5" right="0.5" top="1" bottom="0.5" header="0.5" footer="0.5"/>
  <pageSetup scale="72" fitToHeight="6" orientation="portrait" useFirstPageNumber="1" r:id="rId8"/>
  <headerFooter alignWithMargins="0">
    <oddHeader xml:space="preserve">&amp;R&amp;8Page &amp;P </oddHeader>
  </headerFooter>
  <rowBreaks count="1" manualBreakCount="1">
    <brk id="286" max="4" man="1"/>
  </rowBreaks>
  <drawing r:id="rId9"/>
  <legacyDrawing r:id="rId10"/>
  <mc:AlternateContent xmlns:mc="http://schemas.openxmlformats.org/markup-compatibility/2006">
    <mc:Choice Requires="x14">
      <controls>
        <mc:AlternateContent xmlns:mc="http://schemas.openxmlformats.org/markup-compatibility/2006">
          <mc:Choice Requires="x14">
            <control shapeId="249890" r:id="rId11" name="Button 34">
              <controlPr defaultSize="0" print="0" autoFill="0" autoPict="0" macro="[0]!GoTop">
                <anchor moveWithCells="1">
                  <from>
                    <xdr:col>0</xdr:col>
                    <xdr:colOff>0</xdr:colOff>
                    <xdr:row>40</xdr:row>
                    <xdr:rowOff>7620</xdr:rowOff>
                  </from>
                  <to>
                    <xdr:col>1</xdr:col>
                    <xdr:colOff>0</xdr:colOff>
                    <xdr:row>41</xdr:row>
                    <xdr:rowOff>68580</xdr:rowOff>
                  </to>
                </anchor>
              </controlPr>
            </control>
          </mc:Choice>
        </mc:AlternateContent>
        <mc:AlternateContent xmlns:mc="http://schemas.openxmlformats.org/markup-compatibility/2006">
          <mc:Choice Requires="x14">
            <control shapeId="249891" r:id="rId12" name="Button 35">
              <controlPr defaultSize="0" print="0" autoFill="0" autoPict="0" macro="[0]!GoTop">
                <anchor moveWithCells="1">
                  <from>
                    <xdr:col>0</xdr:col>
                    <xdr:colOff>0</xdr:colOff>
                    <xdr:row>47</xdr:row>
                    <xdr:rowOff>7620</xdr:rowOff>
                  </from>
                  <to>
                    <xdr:col>1</xdr:col>
                    <xdr:colOff>0</xdr:colOff>
                    <xdr:row>48</xdr:row>
                    <xdr:rowOff>76200</xdr:rowOff>
                  </to>
                </anchor>
              </controlPr>
            </control>
          </mc:Choice>
        </mc:AlternateContent>
        <mc:AlternateContent xmlns:mc="http://schemas.openxmlformats.org/markup-compatibility/2006">
          <mc:Choice Requires="x14">
            <control shapeId="249892" r:id="rId13" name="Button 36">
              <controlPr defaultSize="0" print="0" autoFill="0" autoPict="0" macro="[0]!GoTop">
                <anchor moveWithCells="1">
                  <from>
                    <xdr:col>0</xdr:col>
                    <xdr:colOff>0</xdr:colOff>
                    <xdr:row>50</xdr:row>
                    <xdr:rowOff>7620</xdr:rowOff>
                  </from>
                  <to>
                    <xdr:col>1</xdr:col>
                    <xdr:colOff>0</xdr:colOff>
                    <xdr:row>51</xdr:row>
                    <xdr:rowOff>76200</xdr:rowOff>
                  </to>
                </anchor>
              </controlPr>
            </control>
          </mc:Choice>
        </mc:AlternateContent>
        <mc:AlternateContent xmlns:mc="http://schemas.openxmlformats.org/markup-compatibility/2006">
          <mc:Choice Requires="x14">
            <control shapeId="249893" r:id="rId14" name="Button 37">
              <controlPr defaultSize="0" print="0" autoFill="0" autoPict="0" macro="[0]!GoTop">
                <anchor moveWithCells="1">
                  <from>
                    <xdr:col>0</xdr:col>
                    <xdr:colOff>0</xdr:colOff>
                    <xdr:row>56</xdr:row>
                    <xdr:rowOff>7620</xdr:rowOff>
                  </from>
                  <to>
                    <xdr:col>1</xdr:col>
                    <xdr:colOff>0</xdr:colOff>
                    <xdr:row>57</xdr:row>
                    <xdr:rowOff>76200</xdr:rowOff>
                  </to>
                </anchor>
              </controlPr>
            </control>
          </mc:Choice>
        </mc:AlternateContent>
        <mc:AlternateContent xmlns:mc="http://schemas.openxmlformats.org/markup-compatibility/2006">
          <mc:Choice Requires="x14">
            <control shapeId="249894" r:id="rId15" name="Button 38">
              <controlPr defaultSize="0" print="0" autoFill="0" autoPict="0" macro="[0]!GoTop">
                <anchor moveWithCells="1">
                  <from>
                    <xdr:col>0</xdr:col>
                    <xdr:colOff>0</xdr:colOff>
                    <xdr:row>65</xdr:row>
                    <xdr:rowOff>7620</xdr:rowOff>
                  </from>
                  <to>
                    <xdr:col>1</xdr:col>
                    <xdr:colOff>0</xdr:colOff>
                    <xdr:row>66</xdr:row>
                    <xdr:rowOff>76200</xdr:rowOff>
                  </to>
                </anchor>
              </controlPr>
            </control>
          </mc:Choice>
        </mc:AlternateContent>
        <mc:AlternateContent xmlns:mc="http://schemas.openxmlformats.org/markup-compatibility/2006">
          <mc:Choice Requires="x14">
            <control shapeId="249895" r:id="rId16" name="Button 39">
              <controlPr defaultSize="0" print="0" autoFill="0" autoPict="0" macro="[0]!GoTop">
                <anchor moveWithCells="1">
                  <from>
                    <xdr:col>0</xdr:col>
                    <xdr:colOff>0</xdr:colOff>
                    <xdr:row>74</xdr:row>
                    <xdr:rowOff>22860</xdr:rowOff>
                  </from>
                  <to>
                    <xdr:col>1</xdr:col>
                    <xdr:colOff>0</xdr:colOff>
                    <xdr:row>75</xdr:row>
                    <xdr:rowOff>76200</xdr:rowOff>
                  </to>
                </anchor>
              </controlPr>
            </control>
          </mc:Choice>
        </mc:AlternateContent>
        <mc:AlternateContent xmlns:mc="http://schemas.openxmlformats.org/markup-compatibility/2006">
          <mc:Choice Requires="x14">
            <control shapeId="249896" r:id="rId17" name="Button 40">
              <controlPr defaultSize="0" print="0" autoFill="0" autoPict="0" macro="[0]!GoTop">
                <anchor moveWithCells="1">
                  <from>
                    <xdr:col>0</xdr:col>
                    <xdr:colOff>0</xdr:colOff>
                    <xdr:row>78</xdr:row>
                    <xdr:rowOff>7620</xdr:rowOff>
                  </from>
                  <to>
                    <xdr:col>1</xdr:col>
                    <xdr:colOff>0</xdr:colOff>
                    <xdr:row>79</xdr:row>
                    <xdr:rowOff>76200</xdr:rowOff>
                  </to>
                </anchor>
              </controlPr>
            </control>
          </mc:Choice>
        </mc:AlternateContent>
        <mc:AlternateContent xmlns:mc="http://schemas.openxmlformats.org/markup-compatibility/2006">
          <mc:Choice Requires="x14">
            <control shapeId="249897" r:id="rId18" name="Button 41">
              <controlPr defaultSize="0" print="0" autoFill="0" autoPict="0" macro="[0]!GoTop">
                <anchor moveWithCells="1">
                  <from>
                    <xdr:col>0</xdr:col>
                    <xdr:colOff>0</xdr:colOff>
                    <xdr:row>86</xdr:row>
                    <xdr:rowOff>7620</xdr:rowOff>
                  </from>
                  <to>
                    <xdr:col>1</xdr:col>
                    <xdr:colOff>0</xdr:colOff>
                    <xdr:row>87</xdr:row>
                    <xdr:rowOff>76200</xdr:rowOff>
                  </to>
                </anchor>
              </controlPr>
            </control>
          </mc:Choice>
        </mc:AlternateContent>
        <mc:AlternateContent xmlns:mc="http://schemas.openxmlformats.org/markup-compatibility/2006">
          <mc:Choice Requires="x14">
            <control shapeId="249898" r:id="rId19" name="Button 42">
              <controlPr defaultSize="0" print="0" autoFill="0" autoPict="0" macro="[0]!GoTop">
                <anchor moveWithCells="1">
                  <from>
                    <xdr:col>0</xdr:col>
                    <xdr:colOff>0</xdr:colOff>
                    <xdr:row>93</xdr:row>
                    <xdr:rowOff>7620</xdr:rowOff>
                  </from>
                  <to>
                    <xdr:col>1</xdr:col>
                    <xdr:colOff>0</xdr:colOff>
                    <xdr:row>94</xdr:row>
                    <xdr:rowOff>76200</xdr:rowOff>
                  </to>
                </anchor>
              </controlPr>
            </control>
          </mc:Choice>
        </mc:AlternateContent>
        <mc:AlternateContent xmlns:mc="http://schemas.openxmlformats.org/markup-compatibility/2006">
          <mc:Choice Requires="x14">
            <control shapeId="249899" r:id="rId20" name="Button 43">
              <controlPr defaultSize="0" print="0" autoFill="0" autoPict="0" macro="[0]!GoTop">
                <anchor moveWithCells="1">
                  <from>
                    <xdr:col>0</xdr:col>
                    <xdr:colOff>0</xdr:colOff>
                    <xdr:row>99</xdr:row>
                    <xdr:rowOff>7620</xdr:rowOff>
                  </from>
                  <to>
                    <xdr:col>1</xdr:col>
                    <xdr:colOff>0</xdr:colOff>
                    <xdr:row>100</xdr:row>
                    <xdr:rowOff>68580</xdr:rowOff>
                  </to>
                </anchor>
              </controlPr>
            </control>
          </mc:Choice>
        </mc:AlternateContent>
        <mc:AlternateContent xmlns:mc="http://schemas.openxmlformats.org/markup-compatibility/2006">
          <mc:Choice Requires="x14">
            <control shapeId="249900" r:id="rId21" name="Button 44">
              <controlPr defaultSize="0" print="0" autoFill="0" autoPict="0" macro="[0]!GoTop">
                <anchor moveWithCells="1">
                  <from>
                    <xdr:col>0</xdr:col>
                    <xdr:colOff>0</xdr:colOff>
                    <xdr:row>106</xdr:row>
                    <xdr:rowOff>7620</xdr:rowOff>
                  </from>
                  <to>
                    <xdr:col>1</xdr:col>
                    <xdr:colOff>0</xdr:colOff>
                    <xdr:row>107</xdr:row>
                    <xdr:rowOff>76200</xdr:rowOff>
                  </to>
                </anchor>
              </controlPr>
            </control>
          </mc:Choice>
        </mc:AlternateContent>
        <mc:AlternateContent xmlns:mc="http://schemas.openxmlformats.org/markup-compatibility/2006">
          <mc:Choice Requires="x14">
            <control shapeId="249901" r:id="rId22" name="Button 45">
              <controlPr defaultSize="0" print="0" autoFill="0" autoPict="0" macro="[0]!GoTop">
                <anchor moveWithCells="1">
                  <from>
                    <xdr:col>0</xdr:col>
                    <xdr:colOff>0</xdr:colOff>
                    <xdr:row>115</xdr:row>
                    <xdr:rowOff>7620</xdr:rowOff>
                  </from>
                  <to>
                    <xdr:col>1</xdr:col>
                    <xdr:colOff>0</xdr:colOff>
                    <xdr:row>116</xdr:row>
                    <xdr:rowOff>76200</xdr:rowOff>
                  </to>
                </anchor>
              </controlPr>
            </control>
          </mc:Choice>
        </mc:AlternateContent>
        <mc:AlternateContent xmlns:mc="http://schemas.openxmlformats.org/markup-compatibility/2006">
          <mc:Choice Requires="x14">
            <control shapeId="249902" r:id="rId23" name="Button 46">
              <controlPr defaultSize="0" print="0" autoFill="0" autoPict="0" macro="[0]!GoTop">
                <anchor moveWithCells="1">
                  <from>
                    <xdr:col>0</xdr:col>
                    <xdr:colOff>0</xdr:colOff>
                    <xdr:row>124</xdr:row>
                    <xdr:rowOff>7620</xdr:rowOff>
                  </from>
                  <to>
                    <xdr:col>1</xdr:col>
                    <xdr:colOff>0</xdr:colOff>
                    <xdr:row>125</xdr:row>
                    <xdr:rowOff>68580</xdr:rowOff>
                  </to>
                </anchor>
              </controlPr>
            </control>
          </mc:Choice>
        </mc:AlternateContent>
        <mc:AlternateContent xmlns:mc="http://schemas.openxmlformats.org/markup-compatibility/2006">
          <mc:Choice Requires="x14">
            <control shapeId="249903" r:id="rId24" name="Button 47">
              <controlPr defaultSize="0" print="0" autoFill="0" autoPict="0" macro="[0]!GoTop">
                <anchor moveWithCells="1">
                  <from>
                    <xdr:col>0</xdr:col>
                    <xdr:colOff>0</xdr:colOff>
                    <xdr:row>130</xdr:row>
                    <xdr:rowOff>7620</xdr:rowOff>
                  </from>
                  <to>
                    <xdr:col>1</xdr:col>
                    <xdr:colOff>0</xdr:colOff>
                    <xdr:row>131</xdr:row>
                    <xdr:rowOff>68580</xdr:rowOff>
                  </to>
                </anchor>
              </controlPr>
            </control>
          </mc:Choice>
        </mc:AlternateContent>
        <mc:AlternateContent xmlns:mc="http://schemas.openxmlformats.org/markup-compatibility/2006">
          <mc:Choice Requires="x14">
            <control shapeId="249904" r:id="rId25" name="Button 48">
              <controlPr defaultSize="0" print="0" autoFill="0" autoPict="0" macro="[0]!GoTop">
                <anchor moveWithCells="1">
                  <from>
                    <xdr:col>0</xdr:col>
                    <xdr:colOff>0</xdr:colOff>
                    <xdr:row>138</xdr:row>
                    <xdr:rowOff>7620</xdr:rowOff>
                  </from>
                  <to>
                    <xdr:col>1</xdr:col>
                    <xdr:colOff>0</xdr:colOff>
                    <xdr:row>139</xdr:row>
                    <xdr:rowOff>76200</xdr:rowOff>
                  </to>
                </anchor>
              </controlPr>
            </control>
          </mc:Choice>
        </mc:AlternateContent>
        <mc:AlternateContent xmlns:mc="http://schemas.openxmlformats.org/markup-compatibility/2006">
          <mc:Choice Requires="x14">
            <control shapeId="249905" r:id="rId26" name="Button 49">
              <controlPr defaultSize="0" print="0" autoFill="0" autoPict="0" macro="[0]!GoTop">
                <anchor moveWithCells="1">
                  <from>
                    <xdr:col>0</xdr:col>
                    <xdr:colOff>0</xdr:colOff>
                    <xdr:row>144</xdr:row>
                    <xdr:rowOff>7620</xdr:rowOff>
                  </from>
                  <to>
                    <xdr:col>1</xdr:col>
                    <xdr:colOff>0</xdr:colOff>
                    <xdr:row>145</xdr:row>
                    <xdr:rowOff>68580</xdr:rowOff>
                  </to>
                </anchor>
              </controlPr>
            </control>
          </mc:Choice>
        </mc:AlternateContent>
        <mc:AlternateContent xmlns:mc="http://schemas.openxmlformats.org/markup-compatibility/2006">
          <mc:Choice Requires="x14">
            <control shapeId="249906" r:id="rId27" name="Button 50">
              <controlPr defaultSize="0" print="0" autoFill="0" autoPict="0" macro="[0]!GoTop">
                <anchor moveWithCells="1">
                  <from>
                    <xdr:col>0</xdr:col>
                    <xdr:colOff>0</xdr:colOff>
                    <xdr:row>152</xdr:row>
                    <xdr:rowOff>7620</xdr:rowOff>
                  </from>
                  <to>
                    <xdr:col>1</xdr:col>
                    <xdr:colOff>0</xdr:colOff>
                    <xdr:row>153</xdr:row>
                    <xdr:rowOff>68580</xdr:rowOff>
                  </to>
                </anchor>
              </controlPr>
            </control>
          </mc:Choice>
        </mc:AlternateContent>
        <mc:AlternateContent xmlns:mc="http://schemas.openxmlformats.org/markup-compatibility/2006">
          <mc:Choice Requires="x14">
            <control shapeId="249907" r:id="rId28" name="Button 51">
              <controlPr defaultSize="0" print="0" autoFill="0" autoPict="0" macro="[0]!GoTop">
                <anchor moveWithCells="1">
                  <from>
                    <xdr:col>0</xdr:col>
                    <xdr:colOff>0</xdr:colOff>
                    <xdr:row>162</xdr:row>
                    <xdr:rowOff>7620</xdr:rowOff>
                  </from>
                  <to>
                    <xdr:col>1</xdr:col>
                    <xdr:colOff>0</xdr:colOff>
                    <xdr:row>163</xdr:row>
                    <xdr:rowOff>68580</xdr:rowOff>
                  </to>
                </anchor>
              </controlPr>
            </control>
          </mc:Choice>
        </mc:AlternateContent>
        <mc:AlternateContent xmlns:mc="http://schemas.openxmlformats.org/markup-compatibility/2006">
          <mc:Choice Requires="x14">
            <control shapeId="249908" r:id="rId29" name="Button 52">
              <controlPr defaultSize="0" print="0" autoFill="0" autoPict="0" macro="[0]!GoTop">
                <anchor moveWithCells="1">
                  <from>
                    <xdr:col>0</xdr:col>
                    <xdr:colOff>0</xdr:colOff>
                    <xdr:row>170</xdr:row>
                    <xdr:rowOff>7620</xdr:rowOff>
                  </from>
                  <to>
                    <xdr:col>1</xdr:col>
                    <xdr:colOff>0</xdr:colOff>
                    <xdr:row>171</xdr:row>
                    <xdr:rowOff>76200</xdr:rowOff>
                  </to>
                </anchor>
              </controlPr>
            </control>
          </mc:Choice>
        </mc:AlternateContent>
        <mc:AlternateContent xmlns:mc="http://schemas.openxmlformats.org/markup-compatibility/2006">
          <mc:Choice Requires="x14">
            <control shapeId="249909" r:id="rId30" name="Button 53">
              <controlPr defaultSize="0" print="0" autoFill="0" autoPict="0" macro="[0]!GoTop">
                <anchor moveWithCells="1">
                  <from>
                    <xdr:col>0</xdr:col>
                    <xdr:colOff>0</xdr:colOff>
                    <xdr:row>178</xdr:row>
                    <xdr:rowOff>7620</xdr:rowOff>
                  </from>
                  <to>
                    <xdr:col>1</xdr:col>
                    <xdr:colOff>0</xdr:colOff>
                    <xdr:row>179</xdr:row>
                    <xdr:rowOff>76200</xdr:rowOff>
                  </to>
                </anchor>
              </controlPr>
            </control>
          </mc:Choice>
        </mc:AlternateContent>
        <mc:AlternateContent xmlns:mc="http://schemas.openxmlformats.org/markup-compatibility/2006">
          <mc:Choice Requires="x14">
            <control shapeId="249910" r:id="rId31" name="Button 54">
              <controlPr defaultSize="0" print="0" autoFill="0" autoPict="0" macro="[0]!GoTop">
                <anchor moveWithCells="1">
                  <from>
                    <xdr:col>0</xdr:col>
                    <xdr:colOff>0</xdr:colOff>
                    <xdr:row>184</xdr:row>
                    <xdr:rowOff>7620</xdr:rowOff>
                  </from>
                  <to>
                    <xdr:col>1</xdr:col>
                    <xdr:colOff>0</xdr:colOff>
                    <xdr:row>185</xdr:row>
                    <xdr:rowOff>68580</xdr:rowOff>
                  </to>
                </anchor>
              </controlPr>
            </control>
          </mc:Choice>
        </mc:AlternateContent>
        <mc:AlternateContent xmlns:mc="http://schemas.openxmlformats.org/markup-compatibility/2006">
          <mc:Choice Requires="x14">
            <control shapeId="249911" r:id="rId32" name="Button 55">
              <controlPr defaultSize="0" print="0" autoFill="0" autoPict="0" macro="[0]!GoTop">
                <anchor moveWithCells="1">
                  <from>
                    <xdr:col>0</xdr:col>
                    <xdr:colOff>0</xdr:colOff>
                    <xdr:row>195</xdr:row>
                    <xdr:rowOff>7620</xdr:rowOff>
                  </from>
                  <to>
                    <xdr:col>1</xdr:col>
                    <xdr:colOff>0</xdr:colOff>
                    <xdr:row>196</xdr:row>
                    <xdr:rowOff>68580</xdr:rowOff>
                  </to>
                </anchor>
              </controlPr>
            </control>
          </mc:Choice>
        </mc:AlternateContent>
        <mc:AlternateContent xmlns:mc="http://schemas.openxmlformats.org/markup-compatibility/2006">
          <mc:Choice Requires="x14">
            <control shapeId="249912" r:id="rId33" name="Button 56">
              <controlPr defaultSize="0" print="0" autoFill="0" autoPict="0" macro="[0]!GoTop">
                <anchor moveWithCells="1">
                  <from>
                    <xdr:col>0</xdr:col>
                    <xdr:colOff>0</xdr:colOff>
                    <xdr:row>201</xdr:row>
                    <xdr:rowOff>7620</xdr:rowOff>
                  </from>
                  <to>
                    <xdr:col>1</xdr:col>
                    <xdr:colOff>0</xdr:colOff>
                    <xdr:row>202</xdr:row>
                    <xdr:rowOff>68580</xdr:rowOff>
                  </to>
                </anchor>
              </controlPr>
            </control>
          </mc:Choice>
        </mc:AlternateContent>
        <mc:AlternateContent xmlns:mc="http://schemas.openxmlformats.org/markup-compatibility/2006">
          <mc:Choice Requires="x14">
            <control shapeId="249913" r:id="rId34" name="Button 57">
              <controlPr defaultSize="0" print="0" autoFill="0" autoPict="0" macro="[0]!GoTop">
                <anchor moveWithCells="1">
                  <from>
                    <xdr:col>0</xdr:col>
                    <xdr:colOff>0</xdr:colOff>
                    <xdr:row>204</xdr:row>
                    <xdr:rowOff>7620</xdr:rowOff>
                  </from>
                  <to>
                    <xdr:col>1</xdr:col>
                    <xdr:colOff>0</xdr:colOff>
                    <xdr:row>205</xdr:row>
                    <xdr:rowOff>76200</xdr:rowOff>
                  </to>
                </anchor>
              </controlPr>
            </control>
          </mc:Choice>
        </mc:AlternateContent>
        <mc:AlternateContent xmlns:mc="http://schemas.openxmlformats.org/markup-compatibility/2006">
          <mc:Choice Requires="x14">
            <control shapeId="249914" r:id="rId35" name="Button 58">
              <controlPr defaultSize="0" print="0" autoFill="0" autoPict="0" macro="[0]!GoTop">
                <anchor moveWithCells="1">
                  <from>
                    <xdr:col>0</xdr:col>
                    <xdr:colOff>0</xdr:colOff>
                    <xdr:row>213</xdr:row>
                    <xdr:rowOff>7620</xdr:rowOff>
                  </from>
                  <to>
                    <xdr:col>1</xdr:col>
                    <xdr:colOff>0</xdr:colOff>
                    <xdr:row>214</xdr:row>
                    <xdr:rowOff>68580</xdr:rowOff>
                  </to>
                </anchor>
              </controlPr>
            </control>
          </mc:Choice>
        </mc:AlternateContent>
        <mc:AlternateContent xmlns:mc="http://schemas.openxmlformats.org/markup-compatibility/2006">
          <mc:Choice Requires="x14">
            <control shapeId="249915" r:id="rId36" name="Button 59">
              <controlPr defaultSize="0" print="0" autoFill="0" autoPict="0" macro="[0]!GoTop">
                <anchor moveWithCells="1">
                  <from>
                    <xdr:col>0</xdr:col>
                    <xdr:colOff>0</xdr:colOff>
                    <xdr:row>217</xdr:row>
                    <xdr:rowOff>7620</xdr:rowOff>
                  </from>
                  <to>
                    <xdr:col>1</xdr:col>
                    <xdr:colOff>0</xdr:colOff>
                    <xdr:row>218</xdr:row>
                    <xdr:rowOff>68580</xdr:rowOff>
                  </to>
                </anchor>
              </controlPr>
            </control>
          </mc:Choice>
        </mc:AlternateContent>
        <mc:AlternateContent xmlns:mc="http://schemas.openxmlformats.org/markup-compatibility/2006">
          <mc:Choice Requires="x14">
            <control shapeId="249916" r:id="rId37" name="Button 60">
              <controlPr defaultSize="0" print="0" autoFill="0" autoPict="0" macro="[0]!GoTop">
                <anchor moveWithCells="1">
                  <from>
                    <xdr:col>0</xdr:col>
                    <xdr:colOff>0</xdr:colOff>
                    <xdr:row>220</xdr:row>
                    <xdr:rowOff>7620</xdr:rowOff>
                  </from>
                  <to>
                    <xdr:col>1</xdr:col>
                    <xdr:colOff>0</xdr:colOff>
                    <xdr:row>221</xdr:row>
                    <xdr:rowOff>76200</xdr:rowOff>
                  </to>
                </anchor>
              </controlPr>
            </control>
          </mc:Choice>
        </mc:AlternateContent>
        <mc:AlternateContent xmlns:mc="http://schemas.openxmlformats.org/markup-compatibility/2006">
          <mc:Choice Requires="x14">
            <control shapeId="249917" r:id="rId38" name="Button 61">
              <controlPr defaultSize="0" print="0" autoFill="0" autoPict="0" macro="[0]!GoTop">
                <anchor moveWithCells="1">
                  <from>
                    <xdr:col>0</xdr:col>
                    <xdr:colOff>0</xdr:colOff>
                    <xdr:row>229</xdr:row>
                    <xdr:rowOff>7620</xdr:rowOff>
                  </from>
                  <to>
                    <xdr:col>1</xdr:col>
                    <xdr:colOff>0</xdr:colOff>
                    <xdr:row>230</xdr:row>
                    <xdr:rowOff>76200</xdr:rowOff>
                  </to>
                </anchor>
              </controlPr>
            </control>
          </mc:Choice>
        </mc:AlternateContent>
        <mc:AlternateContent xmlns:mc="http://schemas.openxmlformats.org/markup-compatibility/2006">
          <mc:Choice Requires="x14">
            <control shapeId="249918" r:id="rId39" name="Button 62">
              <controlPr defaultSize="0" print="0" autoFill="0" autoPict="0" macro="[0]!GoTop">
                <anchor moveWithCells="1">
                  <from>
                    <xdr:col>0</xdr:col>
                    <xdr:colOff>0</xdr:colOff>
                    <xdr:row>233</xdr:row>
                    <xdr:rowOff>7620</xdr:rowOff>
                  </from>
                  <to>
                    <xdr:col>1</xdr:col>
                    <xdr:colOff>0</xdr:colOff>
                    <xdr:row>234</xdr:row>
                    <xdr:rowOff>76200</xdr:rowOff>
                  </to>
                </anchor>
              </controlPr>
            </control>
          </mc:Choice>
        </mc:AlternateContent>
        <mc:AlternateContent xmlns:mc="http://schemas.openxmlformats.org/markup-compatibility/2006">
          <mc:Choice Requires="x14">
            <control shapeId="249919" r:id="rId40" name="Button 63">
              <controlPr defaultSize="0" print="0" autoFill="0" autoPict="0" macro="[0]!GoTop">
                <anchor moveWithCells="1">
                  <from>
                    <xdr:col>0</xdr:col>
                    <xdr:colOff>0</xdr:colOff>
                    <xdr:row>249</xdr:row>
                    <xdr:rowOff>7620</xdr:rowOff>
                  </from>
                  <to>
                    <xdr:col>1</xdr:col>
                    <xdr:colOff>0</xdr:colOff>
                    <xdr:row>250</xdr:row>
                    <xdr:rowOff>76200</xdr:rowOff>
                  </to>
                </anchor>
              </controlPr>
            </control>
          </mc:Choice>
        </mc:AlternateContent>
        <mc:AlternateContent xmlns:mc="http://schemas.openxmlformats.org/markup-compatibility/2006">
          <mc:Choice Requires="x14">
            <control shapeId="249920" r:id="rId41" name="Button 64">
              <controlPr defaultSize="0" print="0" autoFill="0" autoPict="0" macro="[0]!GoTop">
                <anchor moveWithCells="1">
                  <from>
                    <xdr:col>0</xdr:col>
                    <xdr:colOff>0</xdr:colOff>
                    <xdr:row>266</xdr:row>
                    <xdr:rowOff>7620</xdr:rowOff>
                  </from>
                  <to>
                    <xdr:col>1</xdr:col>
                    <xdr:colOff>0</xdr:colOff>
                    <xdr:row>267</xdr:row>
                    <xdr:rowOff>68580</xdr:rowOff>
                  </to>
                </anchor>
              </controlPr>
            </control>
          </mc:Choice>
        </mc:AlternateContent>
        <mc:AlternateContent xmlns:mc="http://schemas.openxmlformats.org/markup-compatibility/2006">
          <mc:Choice Requires="x14">
            <control shapeId="249921" r:id="rId42" name="Button 65">
              <controlPr defaultSize="0" print="0" autoFill="0" autoPict="0" macro="[0]!GoTop">
                <anchor moveWithCells="1">
                  <from>
                    <xdr:col>0</xdr:col>
                    <xdr:colOff>0</xdr:colOff>
                    <xdr:row>271</xdr:row>
                    <xdr:rowOff>7620</xdr:rowOff>
                  </from>
                  <to>
                    <xdr:col>1</xdr:col>
                    <xdr:colOff>0</xdr:colOff>
                    <xdr:row>272</xdr:row>
                    <xdr:rowOff>76200</xdr:rowOff>
                  </to>
                </anchor>
              </controlPr>
            </control>
          </mc:Choice>
        </mc:AlternateContent>
        <mc:AlternateContent xmlns:mc="http://schemas.openxmlformats.org/markup-compatibility/2006">
          <mc:Choice Requires="x14">
            <control shapeId="249922" r:id="rId43" name="Button 66">
              <controlPr defaultSize="0" print="0" autoFill="0" autoPict="0" macro="[0]!GoTop">
                <anchor moveWithCells="1">
                  <from>
                    <xdr:col>0</xdr:col>
                    <xdr:colOff>0</xdr:colOff>
                    <xdr:row>277</xdr:row>
                    <xdr:rowOff>7620</xdr:rowOff>
                  </from>
                  <to>
                    <xdr:col>1</xdr:col>
                    <xdr:colOff>0</xdr:colOff>
                    <xdr:row>278</xdr:row>
                    <xdr:rowOff>68580</xdr:rowOff>
                  </to>
                </anchor>
              </controlPr>
            </control>
          </mc:Choice>
        </mc:AlternateContent>
        <mc:AlternateContent xmlns:mc="http://schemas.openxmlformats.org/markup-compatibility/2006">
          <mc:Choice Requires="x14">
            <control shapeId="249924" r:id="rId44" name="Button 68">
              <controlPr defaultSize="0" print="0" autoFill="0" autoPict="0" macro="[0]!GoTop">
                <anchor moveWithCells="1">
                  <from>
                    <xdr:col>0</xdr:col>
                    <xdr:colOff>0</xdr:colOff>
                    <xdr:row>299</xdr:row>
                    <xdr:rowOff>7620</xdr:rowOff>
                  </from>
                  <to>
                    <xdr:col>1</xdr:col>
                    <xdr:colOff>0</xdr:colOff>
                    <xdr:row>300</xdr:row>
                    <xdr:rowOff>60960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H40"/>
  <sheetViews>
    <sheetView showGridLines="0" tabSelected="1" zoomScaleNormal="100" workbookViewId="0">
      <selection activeCell="C26" sqref="C26"/>
    </sheetView>
  </sheetViews>
  <sheetFormatPr defaultColWidth="9.109375" defaultRowHeight="13.2" x14ac:dyDescent="0.25"/>
  <cols>
    <col min="1" max="1" width="7.5546875" style="16" customWidth="1"/>
    <col min="2" max="2" width="5" style="16" customWidth="1"/>
    <col min="3" max="3" width="104.33203125" style="16" customWidth="1"/>
    <col min="4" max="16384" width="9.109375" style="16"/>
  </cols>
  <sheetData>
    <row r="1" spans="1:8" ht="20.7" customHeight="1" x14ac:dyDescent="0.3">
      <c r="A1" s="906"/>
      <c r="B1" s="906"/>
      <c r="C1" s="1989" t="s">
        <v>738</v>
      </c>
      <c r="D1" s="222"/>
      <c r="E1" s="63"/>
      <c r="F1" s="63"/>
      <c r="G1" s="63"/>
      <c r="H1" s="63"/>
    </row>
    <row r="2" spans="1:8" ht="27" customHeight="1" x14ac:dyDescent="0.3">
      <c r="A2" s="906"/>
      <c r="B2" s="906"/>
      <c r="C2" s="1962"/>
      <c r="D2" s="222"/>
      <c r="E2" s="63"/>
      <c r="F2" s="63"/>
      <c r="G2" s="63"/>
      <c r="H2" s="63"/>
    </row>
    <row r="3" spans="1:8" ht="20.7" customHeight="1" x14ac:dyDescent="0.3">
      <c r="A3" s="906"/>
      <c r="B3" s="1990"/>
      <c r="C3" s="1991"/>
      <c r="D3" s="222"/>
      <c r="E3" s="63"/>
      <c r="F3" s="63"/>
      <c r="G3" s="63"/>
      <c r="H3" s="63"/>
    </row>
    <row r="4" spans="1:8" ht="20.7" customHeight="1" x14ac:dyDescent="0.25">
      <c r="A4" s="906"/>
      <c r="B4" s="2888" t="s">
        <v>739</v>
      </c>
      <c r="C4" s="2889"/>
      <c r="D4" s="222"/>
      <c r="E4" s="63"/>
      <c r="F4" s="63"/>
      <c r="G4" s="63"/>
      <c r="H4" s="63"/>
    </row>
    <row r="5" spans="1:8" ht="20.7" customHeight="1" x14ac:dyDescent="0.25">
      <c r="A5" s="906"/>
      <c r="B5" s="1992"/>
      <c r="C5" s="1993"/>
      <c r="D5" s="222"/>
      <c r="E5" s="63"/>
      <c r="F5" s="63"/>
      <c r="G5" s="63"/>
      <c r="H5" s="63"/>
    </row>
    <row r="6" spans="1:8" ht="20.7" customHeight="1" x14ac:dyDescent="0.25">
      <c r="A6" s="906"/>
      <c r="B6" s="2890" t="s">
        <v>740</v>
      </c>
      <c r="C6" s="2891"/>
      <c r="D6" s="222"/>
      <c r="E6" s="63"/>
      <c r="F6" s="63"/>
      <c r="G6" s="63"/>
      <c r="H6" s="63"/>
    </row>
    <row r="7" spans="1:8" s="64" customFormat="1" ht="20.100000000000001" customHeight="1" x14ac:dyDescent="0.3">
      <c r="A7" s="1963"/>
      <c r="B7" s="1968" t="s">
        <v>657</v>
      </c>
      <c r="C7" s="1969" t="s">
        <v>1262</v>
      </c>
      <c r="D7" s="1963"/>
    </row>
    <row r="8" spans="1:8" s="64" customFormat="1" ht="20.100000000000001" customHeight="1" x14ac:dyDescent="0.3">
      <c r="A8" s="1963"/>
      <c r="B8" s="1968" t="s">
        <v>658</v>
      </c>
      <c r="C8" s="1969" t="s">
        <v>741</v>
      </c>
      <c r="D8" s="1963"/>
    </row>
    <row r="9" spans="1:8" s="64" customFormat="1" ht="20.100000000000001" customHeight="1" x14ac:dyDescent="0.3">
      <c r="A9" s="1963"/>
      <c r="B9" s="1968" t="s">
        <v>659</v>
      </c>
      <c r="C9" s="1969" t="s">
        <v>742</v>
      </c>
      <c r="D9" s="1963"/>
    </row>
    <row r="10" spans="1:8" s="64" customFormat="1" ht="35.25" customHeight="1" x14ac:dyDescent="0.3">
      <c r="A10" s="1963"/>
      <c r="B10" s="1968" t="s">
        <v>660</v>
      </c>
      <c r="C10" s="1970" t="s">
        <v>959</v>
      </c>
      <c r="D10" s="1963"/>
    </row>
    <row r="11" spans="1:8" ht="80.099999999999994" customHeight="1" x14ac:dyDescent="0.25">
      <c r="A11" s="906"/>
      <c r="B11" s="1971" t="s">
        <v>743</v>
      </c>
      <c r="C11" s="1972" t="s">
        <v>744</v>
      </c>
      <c r="D11" s="222"/>
      <c r="E11" s="63"/>
      <c r="F11" s="63"/>
      <c r="G11" s="63"/>
      <c r="H11" s="63"/>
    </row>
    <row r="12" spans="1:8" ht="27" customHeight="1" x14ac:dyDescent="0.25">
      <c r="A12" s="906"/>
      <c r="B12" s="906"/>
      <c r="C12" s="906"/>
      <c r="D12" s="906"/>
    </row>
    <row r="13" spans="1:8" ht="60" customHeight="1" x14ac:dyDescent="0.25">
      <c r="A13" s="906"/>
      <c r="B13" s="2892" t="s">
        <v>1013</v>
      </c>
      <c r="C13" s="2893"/>
      <c r="D13" s="1964"/>
      <c r="E13" s="65"/>
      <c r="F13" s="65"/>
      <c r="G13" s="65"/>
      <c r="H13" s="65"/>
    </row>
    <row r="14" spans="1:8" ht="66.75" customHeight="1" x14ac:dyDescent="0.25">
      <c r="A14" s="906"/>
      <c r="B14" s="2894" t="s">
        <v>1014</v>
      </c>
      <c r="C14" s="2895"/>
      <c r="D14" s="1964"/>
      <c r="E14" s="2896"/>
      <c r="F14" s="2896"/>
      <c r="G14" s="65"/>
      <c r="H14" s="65"/>
    </row>
    <row r="15" spans="1:8" x14ac:dyDescent="0.25">
      <c r="A15" s="906"/>
      <c r="B15" s="1973"/>
      <c r="C15" s="1974"/>
      <c r="D15" s="906"/>
    </row>
    <row r="16" spans="1:8" ht="15" x14ac:dyDescent="0.25">
      <c r="A16" s="906"/>
      <c r="B16" s="1975" t="s">
        <v>745</v>
      </c>
      <c r="C16" s="1976"/>
      <c r="D16" s="906"/>
    </row>
    <row r="17" spans="1:4" ht="15" x14ac:dyDescent="0.25">
      <c r="A17" s="906"/>
      <c r="B17" s="1977" t="s">
        <v>657</v>
      </c>
      <c r="C17" s="1978" t="s">
        <v>120</v>
      </c>
      <c r="D17" s="906"/>
    </row>
    <row r="18" spans="1:4" ht="30" x14ac:dyDescent="0.25">
      <c r="A18" s="906"/>
      <c r="B18" s="1977" t="s">
        <v>658</v>
      </c>
      <c r="C18" s="1979" t="s">
        <v>121</v>
      </c>
      <c r="D18" s="906"/>
    </row>
    <row r="19" spans="1:4" ht="48" customHeight="1" x14ac:dyDescent="0.25">
      <c r="A19" s="906"/>
      <c r="B19" s="1977" t="s">
        <v>659</v>
      </c>
      <c r="C19" s="1980" t="s">
        <v>746</v>
      </c>
      <c r="D19" s="906"/>
    </row>
    <row r="20" spans="1:4" ht="61.5" customHeight="1" x14ac:dyDescent="0.25">
      <c r="A20" s="906"/>
      <c r="B20" s="1977" t="s">
        <v>660</v>
      </c>
      <c r="C20" s="1981" t="s">
        <v>747</v>
      </c>
      <c r="D20" s="906"/>
    </row>
    <row r="21" spans="1:4" ht="30" x14ac:dyDescent="0.25">
      <c r="A21" s="906"/>
      <c r="B21" s="1977" t="s">
        <v>743</v>
      </c>
      <c r="C21" s="1982" t="s">
        <v>122</v>
      </c>
      <c r="D21" s="906"/>
    </row>
    <row r="22" spans="1:4" ht="15" x14ac:dyDescent="0.25">
      <c r="A22" s="906"/>
      <c r="B22" s="1977" t="s">
        <v>748</v>
      </c>
      <c r="C22" s="1978" t="s">
        <v>123</v>
      </c>
      <c r="D22" s="906"/>
    </row>
    <row r="23" spans="1:4" ht="15" x14ac:dyDescent="0.25">
      <c r="A23" s="906"/>
      <c r="B23" s="1977"/>
      <c r="C23" s="1822"/>
      <c r="D23" s="906"/>
    </row>
    <row r="24" spans="1:4" ht="15" x14ac:dyDescent="0.25">
      <c r="A24" s="906"/>
      <c r="B24" s="1977"/>
      <c r="C24" s="1822"/>
      <c r="D24" s="906"/>
    </row>
    <row r="25" spans="1:4" ht="20.100000000000001" customHeight="1" x14ac:dyDescent="0.25">
      <c r="A25" s="906"/>
      <c r="B25" s="1983" t="s">
        <v>124</v>
      </c>
      <c r="C25" s="1822"/>
      <c r="D25" s="906"/>
    </row>
    <row r="26" spans="1:4" ht="20.100000000000001" customHeight="1" x14ac:dyDescent="0.25">
      <c r="A26" s="906"/>
      <c r="B26" s="1984" t="s">
        <v>657</v>
      </c>
      <c r="C26" s="1985" t="s">
        <v>1015</v>
      </c>
      <c r="D26" s="906"/>
    </row>
    <row r="27" spans="1:4" ht="20.100000000000001" customHeight="1" x14ac:dyDescent="0.25">
      <c r="A27" s="906"/>
      <c r="B27" s="1977" t="s">
        <v>658</v>
      </c>
      <c r="C27" s="1978" t="s">
        <v>1016</v>
      </c>
      <c r="D27" s="906"/>
    </row>
    <row r="28" spans="1:4" ht="20.100000000000001" customHeight="1" x14ac:dyDescent="0.25">
      <c r="A28" s="906"/>
      <c r="B28" s="1977" t="s">
        <v>659</v>
      </c>
      <c r="C28" s="1982" t="s">
        <v>125</v>
      </c>
      <c r="D28" s="906"/>
    </row>
    <row r="29" spans="1:4" ht="65.099999999999994" customHeight="1" x14ac:dyDescent="0.25">
      <c r="A29" s="906"/>
      <c r="B29" s="1977" t="s">
        <v>660</v>
      </c>
      <c r="C29" s="1982" t="s">
        <v>126</v>
      </c>
      <c r="D29" s="906"/>
    </row>
    <row r="30" spans="1:4" ht="20.100000000000001" customHeight="1" x14ac:dyDescent="0.25">
      <c r="A30" s="906"/>
      <c r="B30" s="1977" t="s">
        <v>743</v>
      </c>
      <c r="C30" s="1982" t="s">
        <v>127</v>
      </c>
      <c r="D30" s="906"/>
    </row>
    <row r="31" spans="1:4" ht="20.100000000000001" customHeight="1" x14ac:dyDescent="0.25">
      <c r="A31" s="906"/>
      <c r="B31" s="1977" t="s">
        <v>748</v>
      </c>
      <c r="C31" s="1982" t="s">
        <v>128</v>
      </c>
      <c r="D31" s="906"/>
    </row>
    <row r="32" spans="1:4" ht="80.099999999999994" customHeight="1" x14ac:dyDescent="0.25">
      <c r="A32" s="906"/>
      <c r="B32" s="1977" t="s">
        <v>749</v>
      </c>
      <c r="C32" s="1982" t="s">
        <v>750</v>
      </c>
      <c r="D32" s="906"/>
    </row>
    <row r="33" spans="1:4" ht="35.25" customHeight="1" x14ac:dyDescent="0.25">
      <c r="A33" s="906"/>
      <c r="B33" s="1984" t="s">
        <v>751</v>
      </c>
      <c r="C33" s="1986" t="s">
        <v>752</v>
      </c>
      <c r="D33" s="906"/>
    </row>
    <row r="34" spans="1:4" ht="7.5" customHeight="1" x14ac:dyDescent="0.25">
      <c r="A34" s="906"/>
      <c r="B34" s="1987"/>
      <c r="C34" s="1988"/>
      <c r="D34" s="906"/>
    </row>
    <row r="35" spans="1:4" ht="15" x14ac:dyDescent="0.25">
      <c r="A35" s="906"/>
      <c r="B35" s="1965"/>
      <c r="C35" s="1966"/>
      <c r="D35" s="906"/>
    </row>
    <row r="36" spans="1:4" ht="15.6" x14ac:dyDescent="0.3">
      <c r="A36" s="906"/>
      <c r="B36" s="906"/>
      <c r="C36" s="1967"/>
      <c r="D36" s="906"/>
    </row>
    <row r="37" spans="1:4" ht="15" x14ac:dyDescent="0.25">
      <c r="C37" s="66"/>
    </row>
    <row r="38" spans="1:4" ht="15.6" x14ac:dyDescent="0.3">
      <c r="C38" s="23"/>
    </row>
    <row r="40" spans="1:4" ht="15.6" x14ac:dyDescent="0.3">
      <c r="C40" s="23"/>
    </row>
  </sheetData>
  <sheetProtection password="E593" sheet="1" objects="1" scenarios="1"/>
  <customSheetViews>
    <customSheetView guid="{B63065A1-7838-417A-8679-08A8A2B79CD8}" scale="80" showGridLines="0" fitToPage="1">
      <selection activeCell="N67" sqref="N67"/>
      <pageMargins left="0.5" right="0.5" top="1" bottom="1" header="0.5" footer="0.5"/>
      <printOptions horizontalCentered="1"/>
      <pageSetup scale="61" orientation="portrait" r:id="rId1"/>
      <headerFooter alignWithMargins="0"/>
    </customSheetView>
  </customSheetViews>
  <mergeCells count="5">
    <mergeCell ref="B4:C4"/>
    <mergeCell ref="B6:C6"/>
    <mergeCell ref="B13:C13"/>
    <mergeCell ref="B14:C14"/>
    <mergeCell ref="E14:F14"/>
  </mergeCells>
  <hyperlinks>
    <hyperlink ref="C26" r:id="rId2"/>
    <hyperlink ref="C33" r:id="rId3"/>
    <hyperlink ref="B13:C13" r:id="rId4" display="All new formal rate case applications and subsequent filings must be filed with the PSC in electronically on the PSC’s Electronic Regulatory Filing system at http://apps.psc.wi.gov/vs2015/ERF/ERFhome.aspx"/>
    <hyperlink ref="B14:C14" r:id="rId5" display="Detailed instructions and guidelines can be found on the PSC's Electronic Regulatory Filing system web site at: http://apps.psc.wi.gov/vs2015/ERF/info/help.aspx"/>
  </hyperlinks>
  <printOptions horizontalCentered="1"/>
  <pageMargins left="0.5" right="0.5" top="1" bottom="1" header="0.5" footer="0.5"/>
  <pageSetup scale="63" orientation="portrait" r:id="rId6"/>
  <headerFooter alignWithMargins="0"/>
  <drawing r:id="rId7"/>
  <legacyDrawing r:id="rId8"/>
  <mc:AlternateContent xmlns:mc="http://schemas.openxmlformats.org/markup-compatibility/2006">
    <mc:Choice Requires="x14">
      <controls>
        <mc:AlternateContent xmlns:mc="http://schemas.openxmlformats.org/markup-compatibility/2006">
          <mc:Choice Requires="x14">
            <control shapeId="209921" r:id="rId9" name="Button 1">
              <controlPr defaultSize="0" print="0" autoFill="0" autoPict="0" macro="[0]!BackMain">
                <anchor moveWithCells="1" sizeWithCells="1">
                  <from>
                    <xdr:col>1</xdr:col>
                    <xdr:colOff>22860</xdr:colOff>
                    <xdr:row>0</xdr:row>
                    <xdr:rowOff>76200</xdr:rowOff>
                  </from>
                  <to>
                    <xdr:col>2</xdr:col>
                    <xdr:colOff>502920</xdr:colOff>
                    <xdr:row>1</xdr:row>
                    <xdr:rowOff>236220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G33"/>
  <sheetViews>
    <sheetView showGridLines="0" zoomScaleNormal="100" workbookViewId="0">
      <selection activeCell="D17" sqref="D17"/>
    </sheetView>
  </sheetViews>
  <sheetFormatPr defaultColWidth="9.109375" defaultRowHeight="15.6" x14ac:dyDescent="0.3"/>
  <cols>
    <col min="1" max="1" width="16.109375" style="8" customWidth="1"/>
    <col min="2" max="2" width="26" style="8" customWidth="1"/>
    <col min="3" max="3" width="36" style="8" customWidth="1"/>
    <col min="4" max="4" width="36.109375" style="8" customWidth="1"/>
    <col min="5" max="16384" width="9.109375" style="8"/>
  </cols>
  <sheetData>
    <row r="1" spans="1:7" ht="74.7" customHeight="1" x14ac:dyDescent="0.3">
      <c r="A1" s="344"/>
      <c r="B1" s="2277" t="s">
        <v>1357</v>
      </c>
      <c r="C1" s="2278"/>
      <c r="D1" s="2278"/>
      <c r="E1" s="21"/>
      <c r="F1" s="22"/>
      <c r="G1" s="23"/>
    </row>
    <row r="2" spans="1:7" ht="13.5" customHeight="1" x14ac:dyDescent="0.3">
      <c r="A2" s="344" t="s">
        <v>906</v>
      </c>
      <c r="B2" s="344"/>
      <c r="C2" s="344"/>
      <c r="D2" s="344"/>
      <c r="E2" s="344"/>
      <c r="F2" s="22"/>
      <c r="G2" s="23"/>
    </row>
    <row r="3" spans="1:7" ht="12" customHeight="1" x14ac:dyDescent="0.3">
      <c r="A3" s="344"/>
      <c r="B3" s="344"/>
      <c r="C3" s="344"/>
      <c r="D3" s="24" t="s">
        <v>129</v>
      </c>
      <c r="E3" s="344"/>
      <c r="F3" s="22"/>
      <c r="G3" s="23"/>
    </row>
    <row r="4" spans="1:7" ht="38.700000000000003" customHeight="1" x14ac:dyDescent="0.3">
      <c r="A4" s="2279" t="s">
        <v>130</v>
      </c>
      <c r="B4" s="2280"/>
      <c r="C4" s="2280"/>
      <c r="D4" s="2281"/>
      <c r="E4" s="344"/>
      <c r="F4" s="344"/>
      <c r="G4" s="23"/>
    </row>
    <row r="5" spans="1:7" x14ac:dyDescent="0.3">
      <c r="A5" s="2178" t="s">
        <v>131</v>
      </c>
      <c r="B5" s="2179"/>
      <c r="C5" s="2179"/>
      <c r="D5" s="2180"/>
      <c r="E5" s="344"/>
      <c r="F5" s="344"/>
      <c r="G5" s="23"/>
    </row>
    <row r="6" spans="1:7" ht="16.5" customHeight="1" x14ac:dyDescent="0.3">
      <c r="A6" s="2282" t="s">
        <v>1393</v>
      </c>
      <c r="B6" s="2283"/>
      <c r="C6" s="2283"/>
      <c r="D6" s="2284"/>
      <c r="E6" s="344"/>
      <c r="F6" s="344"/>
      <c r="G6" s="23"/>
    </row>
    <row r="7" spans="1:7" x14ac:dyDescent="0.3">
      <c r="A7" s="2178" t="s">
        <v>132</v>
      </c>
      <c r="B7" s="344"/>
      <c r="C7" s="344"/>
      <c r="D7" s="2180"/>
      <c r="E7" s="344"/>
      <c r="F7" s="344"/>
      <c r="G7" s="23"/>
    </row>
    <row r="8" spans="1:7" ht="18" customHeight="1" x14ac:dyDescent="0.3">
      <c r="A8" s="2181"/>
      <c r="B8" s="344"/>
      <c r="C8" s="2182"/>
      <c r="D8" s="2183"/>
      <c r="E8" s="344"/>
      <c r="F8" s="344"/>
      <c r="G8" s="23"/>
    </row>
    <row r="9" spans="1:7" x14ac:dyDescent="0.3">
      <c r="A9" s="2285" t="s">
        <v>133</v>
      </c>
      <c r="B9" s="2286"/>
      <c r="C9" s="2286"/>
      <c r="D9" s="2287"/>
      <c r="E9" s="344"/>
      <c r="F9" s="344"/>
      <c r="G9" s="23"/>
    </row>
    <row r="10" spans="1:7" ht="19.2" customHeight="1" x14ac:dyDescent="0.3">
      <c r="A10" s="2184"/>
      <c r="B10" s="2185"/>
      <c r="C10" s="2186" t="s">
        <v>134</v>
      </c>
      <c r="D10" s="2186" t="s">
        <v>135</v>
      </c>
      <c r="E10" s="344"/>
      <c r="F10" s="344"/>
      <c r="G10" s="23"/>
    </row>
    <row r="11" spans="1:7" ht="24.9" customHeight="1" x14ac:dyDescent="0.3">
      <c r="A11" s="2270" t="s">
        <v>136</v>
      </c>
      <c r="B11" s="2271"/>
      <c r="C11" s="2187" t="str">
        <f>A6</f>
        <v>Cleveland Water Utility</v>
      </c>
      <c r="D11" s="2187" t="s">
        <v>1486</v>
      </c>
      <c r="E11" s="344"/>
      <c r="F11" s="344"/>
      <c r="G11" s="23"/>
    </row>
    <row r="12" spans="1:7" ht="24.9" customHeight="1" x14ac:dyDescent="0.3">
      <c r="A12" s="2270" t="s">
        <v>137</v>
      </c>
      <c r="B12" s="2271"/>
      <c r="C12" s="2187" t="s">
        <v>1488</v>
      </c>
      <c r="D12" s="2187" t="s">
        <v>1487</v>
      </c>
      <c r="E12" s="344"/>
      <c r="F12" s="344"/>
      <c r="G12" s="23"/>
    </row>
    <row r="13" spans="1:7" ht="24.9" customHeight="1" x14ac:dyDescent="0.3">
      <c r="A13" s="2270" t="s">
        <v>138</v>
      </c>
      <c r="B13" s="2271"/>
      <c r="C13" s="2187"/>
      <c r="D13" s="2187"/>
      <c r="E13" s="344"/>
      <c r="F13" s="344"/>
      <c r="G13" s="23"/>
    </row>
    <row r="14" spans="1:7" ht="24.9" customHeight="1" x14ac:dyDescent="0.3">
      <c r="A14" s="2288" t="s">
        <v>139</v>
      </c>
      <c r="B14" s="2289"/>
      <c r="C14" s="2268" t="s">
        <v>1489</v>
      </c>
      <c r="D14" s="2268" t="s">
        <v>1490</v>
      </c>
      <c r="E14" s="344"/>
      <c r="F14" s="344"/>
      <c r="G14" s="23"/>
    </row>
    <row r="15" spans="1:7" ht="24.9" customHeight="1" x14ac:dyDescent="0.3">
      <c r="A15" s="2290"/>
      <c r="B15" s="2291"/>
      <c r="C15" s="2269"/>
      <c r="D15" s="2269"/>
      <c r="E15" s="344"/>
      <c r="F15" s="344"/>
      <c r="G15" s="23"/>
    </row>
    <row r="16" spans="1:7" ht="24.9" customHeight="1" x14ac:dyDescent="0.3">
      <c r="A16" s="2270" t="s">
        <v>140</v>
      </c>
      <c r="B16" s="2271"/>
      <c r="C16" s="2188" t="s">
        <v>1491</v>
      </c>
      <c r="D16" s="2188" t="s">
        <v>1492</v>
      </c>
      <c r="E16" s="344"/>
      <c r="F16" s="344"/>
      <c r="G16" s="23"/>
    </row>
    <row r="17" spans="1:7" ht="24.9" customHeight="1" x14ac:dyDescent="0.3">
      <c r="A17" s="2270" t="s">
        <v>141</v>
      </c>
      <c r="B17" s="2271"/>
      <c r="C17" s="2189" t="s">
        <v>1493</v>
      </c>
      <c r="D17" s="2190"/>
      <c r="E17" s="344"/>
      <c r="F17" s="344"/>
      <c r="G17" s="23"/>
    </row>
    <row r="18" spans="1:7" ht="24.9" customHeight="1" x14ac:dyDescent="0.3">
      <c r="A18" s="2191" t="s">
        <v>142</v>
      </c>
      <c r="B18" s="2192"/>
      <c r="C18" s="2189" t="s">
        <v>1494</v>
      </c>
      <c r="D18" s="2193" t="s">
        <v>1495</v>
      </c>
      <c r="E18" s="344"/>
      <c r="F18" s="344"/>
      <c r="G18" s="23"/>
    </row>
    <row r="19" spans="1:7" ht="24.9" customHeight="1" x14ac:dyDescent="0.3">
      <c r="A19" s="2270" t="s">
        <v>143</v>
      </c>
      <c r="B19" s="2271"/>
      <c r="C19" s="2189"/>
      <c r="D19" s="2189"/>
      <c r="E19" s="344"/>
      <c r="F19" s="344"/>
      <c r="G19" s="23"/>
    </row>
    <row r="20" spans="1:7" ht="24.9" customHeight="1" x14ac:dyDescent="0.3">
      <c r="A20" s="2191" t="s">
        <v>144</v>
      </c>
      <c r="B20" s="2192"/>
      <c r="C20" s="25" t="s">
        <v>1496</v>
      </c>
      <c r="D20" s="25" t="s">
        <v>1497</v>
      </c>
      <c r="E20" s="344"/>
      <c r="F20" s="344"/>
      <c r="G20" s="23"/>
    </row>
    <row r="21" spans="1:7" ht="24.9" customHeight="1" x14ac:dyDescent="0.3">
      <c r="A21" s="2270" t="s">
        <v>145</v>
      </c>
      <c r="B21" s="2271"/>
      <c r="C21" s="2189" t="s">
        <v>1498</v>
      </c>
      <c r="D21" s="2189" t="s">
        <v>1499</v>
      </c>
      <c r="E21" s="344"/>
      <c r="F21" s="344"/>
      <c r="G21" s="23"/>
    </row>
    <row r="22" spans="1:7" ht="24.9" customHeight="1" x14ac:dyDescent="0.3">
      <c r="A22" s="2270" t="s">
        <v>146</v>
      </c>
      <c r="B22" s="2271"/>
      <c r="C22" s="2189" t="s">
        <v>1531</v>
      </c>
      <c r="D22" s="2189" t="s">
        <v>1532</v>
      </c>
      <c r="E22" s="344"/>
      <c r="F22" s="344"/>
      <c r="G22" s="23"/>
    </row>
    <row r="23" spans="1:7" ht="24.9" customHeight="1" x14ac:dyDescent="0.3">
      <c r="A23" s="2274" t="s">
        <v>895</v>
      </c>
      <c r="B23" s="2275"/>
      <c r="C23" s="2194" t="s">
        <v>1530</v>
      </c>
      <c r="D23" s="2194" t="s">
        <v>1500</v>
      </c>
      <c r="E23" s="344"/>
      <c r="F23" s="344"/>
      <c r="G23" s="23"/>
    </row>
    <row r="24" spans="1:7" ht="45.75" customHeight="1" x14ac:dyDescent="0.3">
      <c r="A24" s="2276"/>
      <c r="B24" s="2276"/>
      <c r="C24" s="2276"/>
      <c r="D24" s="2195"/>
      <c r="E24" s="344"/>
      <c r="F24" s="344"/>
      <c r="G24" s="23"/>
    </row>
    <row r="25" spans="1:7" ht="17.25" customHeight="1" x14ac:dyDescent="0.3">
      <c r="A25" s="2273"/>
      <c r="B25" s="2273"/>
      <c r="C25" s="2273"/>
      <c r="D25" s="2196"/>
      <c r="E25" s="344"/>
      <c r="F25" s="344"/>
      <c r="G25" s="23"/>
    </row>
    <row r="26" spans="1:7" ht="21" customHeight="1" x14ac:dyDescent="0.3">
      <c r="A26" s="2272"/>
      <c r="B26" s="2272"/>
      <c r="C26" s="2272"/>
      <c r="D26" s="2197"/>
      <c r="E26" s="344"/>
      <c r="F26" s="344"/>
      <c r="G26" s="23"/>
    </row>
    <row r="27" spans="1:7" x14ac:dyDescent="0.3">
      <c r="A27" s="2273"/>
      <c r="B27" s="2273"/>
      <c r="C27" s="2273"/>
      <c r="D27" s="2197"/>
      <c r="E27" s="344"/>
      <c r="F27" s="344"/>
      <c r="G27" s="23"/>
    </row>
    <row r="28" spans="1:7" x14ac:dyDescent="0.3">
      <c r="A28" s="344"/>
      <c r="B28" s="344"/>
      <c r="C28" s="344"/>
      <c r="D28" s="344"/>
      <c r="E28" s="344"/>
      <c r="F28" s="344"/>
      <c r="G28" s="23"/>
    </row>
    <row r="29" spans="1:7" x14ac:dyDescent="0.3">
      <c r="A29" s="344"/>
      <c r="B29" s="344"/>
      <c r="C29" s="344"/>
      <c r="D29" s="344"/>
      <c r="E29" s="344"/>
      <c r="F29" s="344"/>
      <c r="G29" s="23"/>
    </row>
    <row r="30" spans="1:7" x14ac:dyDescent="0.3">
      <c r="A30" s="344"/>
      <c r="B30" s="344"/>
      <c r="C30" s="344"/>
      <c r="D30" s="344"/>
      <c r="E30" s="344"/>
      <c r="F30" s="344"/>
      <c r="G30" s="23"/>
    </row>
    <row r="31" spans="1:7" x14ac:dyDescent="0.3">
      <c r="A31" s="344"/>
      <c r="B31" s="344"/>
      <c r="C31" s="344"/>
      <c r="D31" s="344"/>
      <c r="E31" s="344"/>
      <c r="F31" s="344"/>
      <c r="G31" s="23"/>
    </row>
    <row r="32" spans="1:7" x14ac:dyDescent="0.3">
      <c r="A32" s="23"/>
      <c r="B32" s="23"/>
      <c r="C32" s="23"/>
      <c r="D32" s="23"/>
      <c r="E32" s="23"/>
      <c r="F32" s="23"/>
      <c r="G32" s="23"/>
    </row>
    <row r="33" spans="1:7" x14ac:dyDescent="0.3">
      <c r="A33" s="23"/>
      <c r="B33" s="23"/>
      <c r="C33" s="23"/>
      <c r="D33" s="23"/>
      <c r="E33" s="23"/>
      <c r="F33" s="23"/>
      <c r="G33" s="23"/>
    </row>
  </sheetData>
  <sheetProtection password="E593" sheet="1" objects="1" scenarios="1"/>
  <mergeCells count="20">
    <mergeCell ref="A17:B17"/>
    <mergeCell ref="B1:D1"/>
    <mergeCell ref="A4:D4"/>
    <mergeCell ref="A6:D6"/>
    <mergeCell ref="A9:D9"/>
    <mergeCell ref="A11:B11"/>
    <mergeCell ref="A12:B12"/>
    <mergeCell ref="A13:B13"/>
    <mergeCell ref="A14:B15"/>
    <mergeCell ref="C14:C15"/>
    <mergeCell ref="D14:D15"/>
    <mergeCell ref="A16:B16"/>
    <mergeCell ref="A26:C26"/>
    <mergeCell ref="A27:C27"/>
    <mergeCell ref="A19:B19"/>
    <mergeCell ref="A21:B21"/>
    <mergeCell ref="A22:B22"/>
    <mergeCell ref="A23:B23"/>
    <mergeCell ref="A24:C24"/>
    <mergeCell ref="A25:C25"/>
  </mergeCells>
  <printOptions horizontalCentered="1" verticalCentered="1"/>
  <pageMargins left="0.5" right="0.25" top="0.5" bottom="0.5" header="0.25" footer="0.25"/>
  <pageSetup scale="86" fitToHeight="0" orientation="portrait" r:id="rId1"/>
  <headerFooter alignWithMargins="0"/>
  <drawing r:id="rId2"/>
  <legacyDrawing r:id="rId3"/>
  <controls>
    <mc:AlternateContent xmlns:mc="http://schemas.openxmlformats.org/markup-compatibility/2006">
      <mc:Choice Requires="x14">
        <control shapeId="250885" r:id="rId4" name="chkWater">
          <controlPr defaultSize="0" autoLine="0" r:id="rId5">
            <anchor moveWithCells="1">
              <from>
                <xdr:col>0</xdr:col>
                <xdr:colOff>800100</xdr:colOff>
                <xdr:row>7</xdr:row>
                <xdr:rowOff>0</xdr:rowOff>
              </from>
              <to>
                <xdr:col>1</xdr:col>
                <xdr:colOff>441960</xdr:colOff>
                <xdr:row>7</xdr:row>
                <xdr:rowOff>205740</xdr:rowOff>
              </to>
            </anchor>
          </controlPr>
        </control>
      </mc:Choice>
      <mc:Fallback>
        <control shapeId="250885" r:id="rId4" name="chkWater"/>
      </mc:Fallback>
    </mc:AlternateContent>
    <mc:AlternateContent xmlns:mc="http://schemas.openxmlformats.org/markup-compatibility/2006">
      <mc:Choice Requires="x14">
        <control shapeId="250884" r:id="rId6" name="chkSewer">
          <controlPr defaultSize="0" autoLine="0" r:id="rId7">
            <anchor moveWithCells="1">
              <from>
                <xdr:col>2</xdr:col>
                <xdr:colOff>0</xdr:colOff>
                <xdr:row>6</xdr:row>
                <xdr:rowOff>190500</xdr:rowOff>
              </from>
              <to>
                <xdr:col>2</xdr:col>
                <xdr:colOff>769620</xdr:colOff>
                <xdr:row>7</xdr:row>
                <xdr:rowOff>198120</xdr:rowOff>
              </to>
            </anchor>
          </controlPr>
        </control>
      </mc:Choice>
      <mc:Fallback>
        <control shapeId="250884" r:id="rId6" name="chkSewer"/>
      </mc:Fallback>
    </mc:AlternateContent>
    <mc:AlternateContent xmlns:mc="http://schemas.openxmlformats.org/markup-compatibility/2006">
      <mc:Choice Requires="x14">
        <control shapeId="250883" r:id="rId8" name="chkBoth">
          <controlPr defaultSize="0" autoLine="0" r:id="rId9">
            <anchor moveWithCells="1">
              <from>
                <xdr:col>3</xdr:col>
                <xdr:colOff>60960</xdr:colOff>
                <xdr:row>6</xdr:row>
                <xdr:rowOff>129540</xdr:rowOff>
              </from>
              <to>
                <xdr:col>3</xdr:col>
                <xdr:colOff>815340</xdr:colOff>
                <xdr:row>7</xdr:row>
                <xdr:rowOff>198120</xdr:rowOff>
              </to>
            </anchor>
          </controlPr>
        </control>
      </mc:Choice>
      <mc:Fallback>
        <control shapeId="250883" r:id="rId8" name="chkBoth"/>
      </mc:Fallback>
    </mc:AlternateContent>
    <mc:AlternateContent xmlns:mc="http://schemas.openxmlformats.org/markup-compatibility/2006">
      <mc:Choice Requires="x14">
        <control shapeId="250881" r:id="rId10" name="Button 1">
          <controlPr defaultSize="0" print="0" autoFill="0" autoPict="0" macro="[0]!BackMain" altText="Back To Main Menu">
            <anchor moveWithCells="1" sizeWithCells="1">
              <from>
                <xdr:col>3</xdr:col>
                <xdr:colOff>1508760</xdr:colOff>
                <xdr:row>0</xdr:row>
                <xdr:rowOff>83820</xdr:rowOff>
              </from>
              <to>
                <xdr:col>4</xdr:col>
                <xdr:colOff>0</xdr:colOff>
                <xdr:row>0</xdr:row>
                <xdr:rowOff>518160</xdr:rowOff>
              </to>
            </anchor>
          </controlPr>
        </control>
      </mc:Choice>
    </mc:AlternateContent>
    <mc:AlternateContent xmlns:mc="http://schemas.openxmlformats.org/markup-compatibility/2006">
      <mc:Choice Requires="x14">
        <control shapeId="250882" r:id="rId11" name="Button 2">
          <controlPr defaultSize="0" print="0" autoFill="0" autoPict="0" macro="[1]!BackMain">
            <anchor moveWithCells="1" sizeWithCells="1">
              <from>
                <xdr:col>3</xdr:col>
                <xdr:colOff>1676400</xdr:colOff>
                <xdr:row>23</xdr:row>
                <xdr:rowOff>144780</xdr:rowOff>
              </from>
              <to>
                <xdr:col>4</xdr:col>
                <xdr:colOff>0</xdr:colOff>
                <xdr:row>23</xdr:row>
                <xdr:rowOff>563880</xdr:rowOff>
              </to>
            </anchor>
          </controlPr>
        </control>
      </mc:Choice>
    </mc:AlternateContent>
    <mc:AlternateContent xmlns:mc="http://schemas.openxmlformats.org/markup-compatibility/2006">
      <mc:Choice Requires="x14">
        <control shapeId="250886" r:id="rId12" name="Button 6">
          <controlPr defaultSize="0" print="0" autoFill="0" autoPict="0" macro="[0]!PrintContactInfo">
            <anchor moveWithCells="1" sizeWithCells="1">
              <from>
                <xdr:col>4</xdr:col>
                <xdr:colOff>426720</xdr:colOff>
                <xdr:row>3</xdr:row>
                <xdr:rowOff>7620</xdr:rowOff>
              </from>
              <to>
                <xdr:col>6</xdr:col>
                <xdr:colOff>594360</xdr:colOff>
                <xdr:row>4</xdr:row>
                <xdr:rowOff>7620</xdr:rowOff>
              </to>
            </anchor>
          </controlPr>
        </control>
      </mc:Choice>
    </mc:AlternateContent>
    <mc:AlternateContent xmlns:mc="http://schemas.openxmlformats.org/markup-compatibility/2006">
      <mc:Choice Requires="x14">
        <control shapeId="250887" r:id="rId13" name="Button 7">
          <controlPr defaultSize="0" print="0" autoFill="0" autoPict="0" macro="[1]!PrintAll">
            <anchor moveWithCells="1" sizeWithCells="1">
              <from>
                <xdr:col>4</xdr:col>
                <xdr:colOff>441960</xdr:colOff>
                <xdr:row>4</xdr:row>
                <xdr:rowOff>190500</xdr:rowOff>
              </from>
              <to>
                <xdr:col>6</xdr:col>
                <xdr:colOff>601980</xdr:colOff>
                <xdr:row>7</xdr:row>
                <xdr:rowOff>60960</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R386"/>
  <sheetViews>
    <sheetView showGridLines="0" zoomScaleNormal="100" workbookViewId="0">
      <selection activeCell="F13" sqref="F13:J21"/>
    </sheetView>
  </sheetViews>
  <sheetFormatPr defaultColWidth="9.109375" defaultRowHeight="13.2" x14ac:dyDescent="0.25"/>
  <cols>
    <col min="1" max="1" width="9.109375" style="16"/>
    <col min="2" max="2" width="7.109375" style="16" customWidth="1"/>
    <col min="3" max="3" width="9.109375" style="16"/>
    <col min="4" max="4" width="20.109375" style="16" customWidth="1"/>
    <col min="5" max="5" width="5.88671875" style="16" customWidth="1"/>
    <col min="6" max="6" width="38.6640625" style="16" customWidth="1"/>
    <col min="7" max="7" width="15.109375" style="16" customWidth="1"/>
    <col min="8" max="8" width="14.5546875" style="16" customWidth="1"/>
    <col min="9" max="9" width="13" style="16" customWidth="1"/>
    <col min="10" max="10" width="10.44140625" style="16" customWidth="1"/>
    <col min="11" max="11" width="15.6640625" style="16" hidden="1" customWidth="1"/>
    <col min="12" max="13" width="3.6640625" style="16" customWidth="1"/>
    <col min="14" max="14" width="10.88671875" style="16" customWidth="1"/>
    <col min="15" max="15" width="9.109375" style="16"/>
    <col min="16" max="16" width="9.109375" style="20"/>
    <col min="17" max="16384" width="9.109375" style="16"/>
  </cols>
  <sheetData>
    <row r="1" spans="1:15" ht="12.6" customHeight="1" x14ac:dyDescent="0.25">
      <c r="A1" s="906"/>
      <c r="B1" s="299"/>
      <c r="C1" s="299"/>
      <c r="D1" s="299"/>
      <c r="E1" s="299"/>
      <c r="F1" s="299"/>
      <c r="G1" s="299"/>
      <c r="H1" s="299"/>
      <c r="I1" s="299"/>
      <c r="J1" s="299"/>
      <c r="K1" s="299"/>
      <c r="L1" s="299"/>
      <c r="M1" s="299"/>
      <c r="N1" s="906"/>
      <c r="O1" s="906"/>
    </row>
    <row r="2" spans="1:15" ht="19.2" customHeight="1" x14ac:dyDescent="0.25">
      <c r="A2" s="906"/>
      <c r="B2" s="299"/>
      <c r="C2" s="299"/>
      <c r="D2" s="299"/>
      <c r="E2" s="906"/>
      <c r="F2" s="906"/>
      <c r="G2" s="906"/>
      <c r="H2" s="906"/>
      <c r="I2" s="906"/>
      <c r="J2" s="906"/>
      <c r="K2" s="299"/>
      <c r="L2" s="299"/>
      <c r="M2" s="299"/>
      <c r="N2" s="906"/>
      <c r="O2" s="906"/>
    </row>
    <row r="3" spans="1:15" x14ac:dyDescent="0.25">
      <c r="A3" s="906"/>
      <c r="B3" s="299"/>
      <c r="C3" s="299"/>
      <c r="D3" s="299"/>
      <c r="E3" s="907"/>
      <c r="F3" s="907"/>
      <c r="G3" s="907"/>
      <c r="H3" s="907"/>
      <c r="I3" s="907"/>
      <c r="J3" s="299"/>
      <c r="K3" s="299"/>
      <c r="L3" s="299"/>
      <c r="M3" s="299"/>
      <c r="N3" s="906"/>
      <c r="O3" s="906"/>
    </row>
    <row r="4" spans="1:15" ht="13.8" x14ac:dyDescent="0.25">
      <c r="A4" s="906"/>
      <c r="B4" s="81" t="str">
        <f>TestYear &amp; " Test Year"</f>
        <v>2023 Test Year</v>
      </c>
      <c r="C4" s="299"/>
      <c r="D4" s="299"/>
      <c r="E4" s="2303" t="str">
        <f>Utility</f>
        <v>Cleveland Water Utility</v>
      </c>
      <c r="F4" s="2303"/>
      <c r="G4" s="2303"/>
      <c r="H4" s="2303"/>
      <c r="I4" s="2303"/>
      <c r="J4" s="2303"/>
      <c r="K4" s="299"/>
      <c r="L4" s="299"/>
      <c r="M4" s="299"/>
      <c r="N4" s="906"/>
      <c r="O4" s="906"/>
    </row>
    <row r="5" spans="1:15" ht="13.95" customHeight="1" x14ac:dyDescent="0.25">
      <c r="A5" s="906"/>
      <c r="B5" s="299"/>
      <c r="C5" s="299"/>
      <c r="D5" s="299"/>
      <c r="E5" s="2304" t="s">
        <v>1203</v>
      </c>
      <c r="F5" s="2304"/>
      <c r="G5" s="2304"/>
      <c r="H5" s="2304"/>
      <c r="I5" s="2304"/>
      <c r="J5" s="2304"/>
      <c r="K5" s="299"/>
      <c r="L5" s="299"/>
      <c r="M5" s="299"/>
      <c r="N5" s="906"/>
      <c r="O5" s="906"/>
    </row>
    <row r="6" spans="1:15" ht="6.75" customHeight="1" thickBot="1" x14ac:dyDescent="0.3">
      <c r="A6" s="906"/>
      <c r="B6" s="305"/>
      <c r="C6" s="305"/>
      <c r="D6" s="305"/>
      <c r="E6" s="305"/>
      <c r="F6" s="305"/>
      <c r="G6" s="305"/>
      <c r="H6" s="305"/>
      <c r="I6" s="305"/>
      <c r="J6" s="305"/>
      <c r="K6" s="305"/>
      <c r="L6" s="299"/>
      <c r="M6" s="299"/>
      <c r="N6" s="906"/>
      <c r="O6" s="906"/>
    </row>
    <row r="7" spans="1:15" ht="13.8" thickTop="1" x14ac:dyDescent="0.25">
      <c r="A7" s="906"/>
      <c r="B7" s="910"/>
      <c r="C7" s="462"/>
      <c r="D7" s="462"/>
      <c r="E7" s="462"/>
      <c r="F7" s="462"/>
      <c r="G7" s="462"/>
      <c r="H7" s="462"/>
      <c r="I7" s="462"/>
      <c r="J7" s="462"/>
      <c r="K7" s="462"/>
      <c r="L7" s="462"/>
      <c r="M7" s="462"/>
      <c r="N7" s="911"/>
      <c r="O7" s="906"/>
    </row>
    <row r="8" spans="1:15" x14ac:dyDescent="0.25">
      <c r="A8" s="906"/>
      <c r="B8" s="374"/>
      <c r="C8" s="348"/>
      <c r="D8" s="348"/>
      <c r="E8" s="348"/>
      <c r="F8" s="348"/>
      <c r="G8" s="348"/>
      <c r="H8" s="348"/>
      <c r="I8" s="348"/>
      <c r="J8" s="348"/>
      <c r="K8" s="348"/>
      <c r="L8" s="348"/>
      <c r="M8" s="348"/>
      <c r="N8" s="913"/>
      <c r="O8" s="906"/>
    </row>
    <row r="9" spans="1:15" ht="14.4" x14ac:dyDescent="0.3">
      <c r="A9" s="906"/>
      <c r="B9" s="1690"/>
      <c r="C9" s="1691" t="s">
        <v>1204</v>
      </c>
      <c r="D9" s="1681"/>
      <c r="E9" s="348"/>
      <c r="F9" s="1659" t="s">
        <v>1228</v>
      </c>
      <c r="G9" s="348"/>
      <c r="H9" s="348"/>
      <c r="I9" s="348"/>
      <c r="J9" s="348"/>
      <c r="K9" s="348"/>
      <c r="L9" s="348"/>
      <c r="M9" s="348"/>
      <c r="N9" s="913"/>
      <c r="O9" s="906"/>
    </row>
    <row r="10" spans="1:15" ht="15.6" x14ac:dyDescent="0.3">
      <c r="A10" s="906"/>
      <c r="B10" s="1690"/>
      <c r="C10" s="1692"/>
      <c r="D10" s="1681"/>
      <c r="E10" s="348"/>
      <c r="F10" s="1659" t="s">
        <v>1229</v>
      </c>
      <c r="G10" s="348"/>
      <c r="H10" s="348"/>
      <c r="I10" s="348"/>
      <c r="J10" s="348"/>
      <c r="K10" s="348"/>
      <c r="L10" s="348"/>
      <c r="M10" s="348"/>
      <c r="N10" s="913"/>
      <c r="O10" s="906"/>
    </row>
    <row r="11" spans="1:15" ht="15.6" x14ac:dyDescent="0.3">
      <c r="A11" s="906"/>
      <c r="B11" s="1690"/>
      <c r="C11" s="1692"/>
      <c r="D11" s="1681"/>
      <c r="E11" s="348"/>
      <c r="F11" s="1659" t="s">
        <v>1218</v>
      </c>
      <c r="G11" s="348"/>
      <c r="H11" s="348"/>
      <c r="I11" s="348"/>
      <c r="J11" s="348"/>
      <c r="K11" s="348"/>
      <c r="L11" s="348"/>
      <c r="M11" s="348"/>
      <c r="N11" s="913"/>
      <c r="O11" s="906"/>
    </row>
    <row r="12" spans="1:15" ht="15.6" x14ac:dyDescent="0.3">
      <c r="A12" s="906"/>
      <c r="B12" s="1690"/>
      <c r="C12" s="1692"/>
      <c r="D12" s="1681"/>
      <c r="E12" s="348"/>
      <c r="F12" s="348"/>
      <c r="G12" s="348"/>
      <c r="H12" s="348"/>
      <c r="I12" s="348"/>
      <c r="J12" s="348"/>
      <c r="K12" s="348"/>
      <c r="L12" s="348"/>
      <c r="M12" s="348"/>
      <c r="N12" s="913"/>
      <c r="O12" s="906"/>
    </row>
    <row r="13" spans="1:15" ht="15.6" x14ac:dyDescent="0.3">
      <c r="A13" s="906"/>
      <c r="B13" s="1690"/>
      <c r="C13" s="1692"/>
      <c r="D13" s="1681"/>
      <c r="E13" s="348"/>
      <c r="F13" s="2292" t="s">
        <v>1543</v>
      </c>
      <c r="G13" s="2293"/>
      <c r="H13" s="2293"/>
      <c r="I13" s="2293"/>
      <c r="J13" s="2294"/>
      <c r="K13" s="348"/>
      <c r="L13" s="348"/>
      <c r="M13" s="348"/>
      <c r="N13" s="913"/>
      <c r="O13" s="906"/>
    </row>
    <row r="14" spans="1:15" ht="15.6" x14ac:dyDescent="0.3">
      <c r="A14" s="906"/>
      <c r="B14" s="374"/>
      <c r="C14" s="1657"/>
      <c r="D14" s="348"/>
      <c r="E14" s="348"/>
      <c r="F14" s="2295"/>
      <c r="G14" s="2296"/>
      <c r="H14" s="2296"/>
      <c r="I14" s="2296"/>
      <c r="J14" s="2297"/>
      <c r="K14" s="348"/>
      <c r="L14" s="348"/>
      <c r="M14" s="348"/>
      <c r="N14" s="913"/>
      <c r="O14" s="906"/>
    </row>
    <row r="15" spans="1:15" x14ac:dyDescent="0.25">
      <c r="A15" s="906"/>
      <c r="B15" s="374"/>
      <c r="C15" s="348"/>
      <c r="D15" s="348"/>
      <c r="E15" s="348"/>
      <c r="F15" s="2295"/>
      <c r="G15" s="2296"/>
      <c r="H15" s="2296"/>
      <c r="I15" s="2296"/>
      <c r="J15" s="2297"/>
      <c r="K15" s="348"/>
      <c r="L15" s="348"/>
      <c r="M15" s="348"/>
      <c r="N15" s="913"/>
      <c r="O15" s="906"/>
    </row>
    <row r="16" spans="1:15" x14ac:dyDescent="0.25">
      <c r="A16" s="906"/>
      <c r="B16" s="374"/>
      <c r="C16" s="348"/>
      <c r="D16" s="348"/>
      <c r="E16" s="348"/>
      <c r="F16" s="2295"/>
      <c r="G16" s="2296"/>
      <c r="H16" s="2296"/>
      <c r="I16" s="2296"/>
      <c r="J16" s="2297"/>
      <c r="K16" s="348"/>
      <c r="L16" s="348"/>
      <c r="M16" s="348"/>
      <c r="N16" s="913"/>
      <c r="O16" s="906"/>
    </row>
    <row r="17" spans="1:18" x14ac:dyDescent="0.25">
      <c r="A17" s="906"/>
      <c r="B17" s="374"/>
      <c r="C17" s="348"/>
      <c r="D17" s="348"/>
      <c r="E17" s="348"/>
      <c r="F17" s="2295"/>
      <c r="G17" s="2296"/>
      <c r="H17" s="2296"/>
      <c r="I17" s="2296"/>
      <c r="J17" s="2297"/>
      <c r="K17" s="348"/>
      <c r="L17" s="348"/>
      <c r="M17" s="348"/>
      <c r="N17" s="913"/>
      <c r="O17" s="906"/>
    </row>
    <row r="18" spans="1:18" x14ac:dyDescent="0.25">
      <c r="A18" s="906"/>
      <c r="B18" s="374"/>
      <c r="C18" s="348"/>
      <c r="D18" s="348"/>
      <c r="E18" s="348"/>
      <c r="F18" s="2295"/>
      <c r="G18" s="2296"/>
      <c r="H18" s="2296"/>
      <c r="I18" s="2296"/>
      <c r="J18" s="2297"/>
      <c r="K18" s="348"/>
      <c r="L18" s="348"/>
      <c r="M18" s="348"/>
      <c r="N18" s="913"/>
      <c r="O18" s="906"/>
    </row>
    <row r="19" spans="1:18" x14ac:dyDescent="0.25">
      <c r="A19" s="906"/>
      <c r="B19" s="374"/>
      <c r="C19" s="348"/>
      <c r="D19" s="348"/>
      <c r="E19" s="348"/>
      <c r="F19" s="2295"/>
      <c r="G19" s="2296"/>
      <c r="H19" s="2296"/>
      <c r="I19" s="2296"/>
      <c r="J19" s="2297"/>
      <c r="K19" s="348"/>
      <c r="L19" s="348"/>
      <c r="M19" s="348"/>
      <c r="N19" s="913"/>
      <c r="O19" s="906"/>
    </row>
    <row r="20" spans="1:18" x14ac:dyDescent="0.25">
      <c r="A20" s="906"/>
      <c r="B20" s="374"/>
      <c r="C20" s="348"/>
      <c r="D20" s="348"/>
      <c r="E20" s="348"/>
      <c r="F20" s="2295"/>
      <c r="G20" s="2296"/>
      <c r="H20" s="2296"/>
      <c r="I20" s="2296"/>
      <c r="J20" s="2297"/>
      <c r="K20" s="348"/>
      <c r="L20" s="348"/>
      <c r="M20" s="348"/>
      <c r="N20" s="913"/>
      <c r="O20" s="906"/>
    </row>
    <row r="21" spans="1:18" x14ac:dyDescent="0.25">
      <c r="A21" s="906"/>
      <c r="B21" s="374"/>
      <c r="C21" s="348"/>
      <c r="D21" s="348"/>
      <c r="E21" s="348"/>
      <c r="F21" s="2298"/>
      <c r="G21" s="2299"/>
      <c r="H21" s="2299"/>
      <c r="I21" s="2299"/>
      <c r="J21" s="2300"/>
      <c r="K21" s="348"/>
      <c r="L21" s="348"/>
      <c r="M21" s="348"/>
      <c r="N21" s="913"/>
      <c r="O21" s="906"/>
    </row>
    <row r="22" spans="1:18" x14ac:dyDescent="0.25">
      <c r="A22" s="906"/>
      <c r="B22" s="374"/>
      <c r="C22" s="348"/>
      <c r="D22" s="348"/>
      <c r="E22" s="348"/>
      <c r="F22" s="348"/>
      <c r="G22" s="348"/>
      <c r="H22" s="348"/>
      <c r="I22" s="348"/>
      <c r="J22" s="348"/>
      <c r="K22" s="348"/>
      <c r="L22" s="348"/>
      <c r="M22" s="348"/>
      <c r="N22" s="913"/>
      <c r="O22" s="906"/>
    </row>
    <row r="23" spans="1:18" ht="14.4" x14ac:dyDescent="0.3">
      <c r="A23" s="906"/>
      <c r="B23" s="2301" t="s">
        <v>1205</v>
      </c>
      <c r="C23" s="2302"/>
      <c r="D23" s="2302"/>
      <c r="E23" s="2302"/>
      <c r="F23" s="1659" t="s">
        <v>1219</v>
      </c>
      <c r="G23" s="348"/>
      <c r="H23" s="348"/>
      <c r="I23" s="348"/>
      <c r="J23" s="348"/>
      <c r="K23" s="348"/>
      <c r="L23" s="348"/>
      <c r="M23" s="348"/>
      <c r="N23" s="913"/>
      <c r="O23" s="906"/>
    </row>
    <row r="24" spans="1:18" ht="14.4" x14ac:dyDescent="0.3">
      <c r="A24" s="906"/>
      <c r="B24" s="339"/>
      <c r="C24" s="324"/>
      <c r="D24" s="1663" t="s">
        <v>1206</v>
      </c>
      <c r="E24" s="324"/>
      <c r="F24" s="348"/>
      <c r="G24" s="348"/>
      <c r="H24" s="348"/>
      <c r="I24" s="348"/>
      <c r="J24" s="348"/>
      <c r="K24" s="348"/>
      <c r="L24" s="348"/>
      <c r="M24" s="348"/>
      <c r="N24" s="913"/>
      <c r="O24" s="906"/>
    </row>
    <row r="25" spans="1:18" ht="14.4" x14ac:dyDescent="0.3">
      <c r="A25" s="906"/>
      <c r="B25" s="339"/>
      <c r="C25" s="324"/>
      <c r="D25" s="1663" t="s">
        <v>1207</v>
      </c>
      <c r="E25" s="324"/>
      <c r="F25" s="2305"/>
      <c r="G25" s="2293"/>
      <c r="H25" s="2293"/>
      <c r="I25" s="2293"/>
      <c r="J25" s="2294"/>
      <c r="K25" s="348"/>
      <c r="L25" s="348"/>
      <c r="M25" s="348"/>
      <c r="N25" s="913"/>
      <c r="O25" s="906"/>
    </row>
    <row r="26" spans="1:18" ht="14.4" x14ac:dyDescent="0.3">
      <c r="A26" s="906"/>
      <c r="B26" s="339"/>
      <c r="C26" s="324"/>
      <c r="D26" s="1663" t="s">
        <v>1220</v>
      </c>
      <c r="E26" s="324"/>
      <c r="F26" s="2295"/>
      <c r="G26" s="2296"/>
      <c r="H26" s="2296"/>
      <c r="I26" s="2296"/>
      <c r="J26" s="2297"/>
      <c r="K26" s="348"/>
      <c r="L26" s="348"/>
      <c r="M26" s="348"/>
      <c r="N26" s="913"/>
      <c r="O26" s="906"/>
    </row>
    <row r="27" spans="1:18" ht="14.4" customHeight="1" x14ac:dyDescent="0.3">
      <c r="A27" s="906"/>
      <c r="B27" s="339"/>
      <c r="C27" s="324"/>
      <c r="D27" s="1663" t="s">
        <v>1221</v>
      </c>
      <c r="E27" s="1688"/>
      <c r="F27" s="2295"/>
      <c r="G27" s="2296"/>
      <c r="H27" s="2296"/>
      <c r="I27" s="2296"/>
      <c r="J27" s="2297"/>
      <c r="K27" s="1656"/>
      <c r="L27" s="1656"/>
      <c r="M27" s="1656"/>
      <c r="N27" s="913"/>
      <c r="O27" s="906"/>
    </row>
    <row r="28" spans="1:18" ht="14.4" customHeight="1" x14ac:dyDescent="0.3">
      <c r="A28" s="906"/>
      <c r="B28" s="1687"/>
      <c r="C28" s="1686"/>
      <c r="D28" s="1663" t="s">
        <v>1208</v>
      </c>
      <c r="E28" s="1688"/>
      <c r="F28" s="2295"/>
      <c r="G28" s="2296"/>
      <c r="H28" s="2296"/>
      <c r="I28" s="2296"/>
      <c r="J28" s="2297"/>
      <c r="K28" s="1656"/>
      <c r="L28" s="1656"/>
      <c r="M28" s="1656"/>
      <c r="N28" s="913"/>
      <c r="O28" s="906"/>
    </row>
    <row r="29" spans="1:18" ht="14.4" customHeight="1" x14ac:dyDescent="0.3">
      <c r="A29" s="906"/>
      <c r="B29" s="1687"/>
      <c r="C29" s="1686"/>
      <c r="D29" s="1663" t="s">
        <v>1209</v>
      </c>
      <c r="E29" s="1688"/>
      <c r="F29" s="2295"/>
      <c r="G29" s="2296"/>
      <c r="H29" s="2296"/>
      <c r="I29" s="2296"/>
      <c r="J29" s="2297"/>
      <c r="K29" s="1649"/>
      <c r="L29" s="1649"/>
      <c r="M29" s="1649"/>
      <c r="N29" s="913"/>
      <c r="O29" s="906"/>
    </row>
    <row r="30" spans="1:18" ht="14.4" customHeight="1" x14ac:dyDescent="0.3">
      <c r="A30" s="906"/>
      <c r="B30" s="1660"/>
      <c r="C30" s="1649"/>
      <c r="D30" s="1647"/>
      <c r="E30" s="1689"/>
      <c r="F30" s="2295"/>
      <c r="G30" s="2296"/>
      <c r="H30" s="2296"/>
      <c r="I30" s="2296"/>
      <c r="J30" s="2297"/>
      <c r="K30" s="1647"/>
      <c r="L30" s="1647"/>
      <c r="M30" s="1647"/>
      <c r="N30" s="1648"/>
      <c r="O30" s="906"/>
      <c r="R30" s="1181">
        <v>1</v>
      </c>
    </row>
    <row r="31" spans="1:18" ht="15.6" customHeight="1" x14ac:dyDescent="0.25">
      <c r="A31" s="906"/>
      <c r="B31" s="1661"/>
      <c r="C31" s="1647"/>
      <c r="D31" s="1676"/>
      <c r="E31" s="1677"/>
      <c r="F31" s="2298"/>
      <c r="G31" s="2299"/>
      <c r="H31" s="2299"/>
      <c r="I31" s="2299"/>
      <c r="J31" s="2300"/>
      <c r="K31" s="1677"/>
      <c r="L31" s="348"/>
      <c r="M31" s="348"/>
      <c r="N31" s="913"/>
      <c r="O31" s="906"/>
    </row>
    <row r="32" spans="1:18" ht="16.95" customHeight="1" x14ac:dyDescent="0.25">
      <c r="A32" s="906"/>
      <c r="B32" s="1661"/>
      <c r="C32" s="1651"/>
      <c r="D32" s="1656"/>
      <c r="E32" s="1652"/>
      <c r="F32" s="1652"/>
      <c r="G32" s="1652"/>
      <c r="H32" s="1652"/>
      <c r="I32" s="1652"/>
      <c r="J32" s="1652"/>
      <c r="K32" s="1652"/>
      <c r="L32" s="348"/>
      <c r="M32" s="348"/>
      <c r="N32" s="913"/>
      <c r="O32" s="906"/>
    </row>
    <row r="33" spans="1:15" ht="14.4" x14ac:dyDescent="0.3">
      <c r="A33" s="906"/>
      <c r="B33" s="1693"/>
      <c r="C33" s="1682"/>
      <c r="D33" s="1682" t="s">
        <v>1222</v>
      </c>
      <c r="E33" s="1652"/>
      <c r="F33" s="1659" t="s">
        <v>1210</v>
      </c>
      <c r="G33" s="1652"/>
      <c r="H33" s="1652"/>
      <c r="I33" s="1652"/>
      <c r="J33" s="1652"/>
      <c r="K33" s="1652"/>
      <c r="L33" s="348"/>
      <c r="M33" s="348"/>
      <c r="N33" s="913"/>
      <c r="O33" s="906"/>
    </row>
    <row r="34" spans="1:15" ht="12.6" customHeight="1" x14ac:dyDescent="0.3">
      <c r="A34" s="906"/>
      <c r="B34" s="1661"/>
      <c r="C34" s="1651"/>
      <c r="D34" s="1656"/>
      <c r="E34" s="1664"/>
      <c r="F34" s="1659" t="s">
        <v>1217</v>
      </c>
      <c r="G34" s="1664"/>
      <c r="H34" s="1664"/>
      <c r="I34" s="1664"/>
      <c r="J34" s="1664"/>
      <c r="K34" s="1664"/>
      <c r="L34" s="348"/>
      <c r="M34" s="348"/>
      <c r="N34" s="913"/>
      <c r="O34" s="906"/>
    </row>
    <row r="35" spans="1:15" ht="14.4" x14ac:dyDescent="0.3">
      <c r="A35" s="906"/>
      <c r="B35" s="1661"/>
      <c r="C35" s="1651"/>
      <c r="D35" s="1664"/>
      <c r="E35" s="1664"/>
      <c r="F35" s="1659" t="s">
        <v>1223</v>
      </c>
      <c r="G35" s="1664"/>
      <c r="H35" s="1664"/>
      <c r="I35" s="1664"/>
      <c r="J35" s="1664"/>
      <c r="K35" s="1664"/>
      <c r="L35" s="348"/>
      <c r="M35" s="348"/>
      <c r="N35" s="913"/>
      <c r="O35" s="906"/>
    </row>
    <row r="36" spans="1:15" ht="12.75" customHeight="1" x14ac:dyDescent="0.25">
      <c r="A36" s="906"/>
      <c r="B36" s="1661"/>
      <c r="C36" s="1651"/>
      <c r="D36" s="1672"/>
      <c r="E36" s="1673"/>
      <c r="F36" s="1673"/>
      <c r="G36" s="1673"/>
      <c r="H36" s="1673"/>
      <c r="I36" s="1673"/>
      <c r="J36" s="1673"/>
      <c r="K36" s="1673"/>
      <c r="L36" s="348"/>
      <c r="M36" s="348"/>
      <c r="N36" s="913"/>
      <c r="O36" s="906"/>
    </row>
    <row r="37" spans="1:15" x14ac:dyDescent="0.25">
      <c r="A37" s="906"/>
      <c r="B37" s="1661"/>
      <c r="C37" s="1651"/>
      <c r="D37" s="1673"/>
      <c r="E37" s="1673"/>
      <c r="F37" s="2292" t="s">
        <v>1540</v>
      </c>
      <c r="G37" s="2293"/>
      <c r="H37" s="2293"/>
      <c r="I37" s="2293"/>
      <c r="J37" s="2294"/>
      <c r="K37" s="1673"/>
      <c r="L37" s="348"/>
      <c r="M37" s="348"/>
      <c r="N37" s="913"/>
      <c r="O37" s="906"/>
    </row>
    <row r="38" spans="1:15" x14ac:dyDescent="0.25">
      <c r="A38" s="906"/>
      <c r="B38" s="1661"/>
      <c r="C38" s="1651"/>
      <c r="D38" s="1673"/>
      <c r="E38" s="1673"/>
      <c r="F38" s="2295"/>
      <c r="G38" s="2296"/>
      <c r="H38" s="2296"/>
      <c r="I38" s="2296"/>
      <c r="J38" s="2297"/>
      <c r="K38" s="1673"/>
      <c r="L38" s="348"/>
      <c r="M38" s="348"/>
      <c r="N38" s="913"/>
      <c r="O38" s="906"/>
    </row>
    <row r="39" spans="1:15" ht="12.75" customHeight="1" x14ac:dyDescent="0.25">
      <c r="A39" s="906"/>
      <c r="B39" s="1661"/>
      <c r="C39" s="1651"/>
      <c r="D39" s="1672"/>
      <c r="E39" s="1673"/>
      <c r="F39" s="2295"/>
      <c r="G39" s="2296"/>
      <c r="H39" s="2296"/>
      <c r="I39" s="2296"/>
      <c r="J39" s="2297"/>
      <c r="K39" s="1673"/>
      <c r="L39" s="348"/>
      <c r="M39" s="348"/>
      <c r="N39" s="913"/>
      <c r="O39" s="906"/>
    </row>
    <row r="40" spans="1:15" ht="18" customHeight="1" x14ac:dyDescent="0.25">
      <c r="A40" s="906"/>
      <c r="B40" s="1661"/>
      <c r="C40" s="1651"/>
      <c r="D40" s="1673"/>
      <c r="E40" s="1673"/>
      <c r="F40" s="2295"/>
      <c r="G40" s="2296"/>
      <c r="H40" s="2296"/>
      <c r="I40" s="2296"/>
      <c r="J40" s="2297"/>
      <c r="K40" s="1673"/>
      <c r="L40" s="348"/>
      <c r="M40" s="348"/>
      <c r="N40" s="913"/>
      <c r="O40" s="906"/>
    </row>
    <row r="41" spans="1:15" ht="12.75" customHeight="1" x14ac:dyDescent="0.25">
      <c r="A41" s="906"/>
      <c r="B41" s="1661"/>
      <c r="C41" s="1651"/>
      <c r="D41" s="1674"/>
      <c r="E41" s="1675"/>
      <c r="F41" s="2295"/>
      <c r="G41" s="2296"/>
      <c r="H41" s="2296"/>
      <c r="I41" s="2296"/>
      <c r="J41" s="2297"/>
      <c r="K41" s="1675"/>
      <c r="L41" s="348"/>
      <c r="M41" s="348"/>
      <c r="N41" s="913"/>
      <c r="O41" s="906"/>
    </row>
    <row r="42" spans="1:15" x14ac:dyDescent="0.25">
      <c r="A42" s="906"/>
      <c r="B42" s="1661"/>
      <c r="C42" s="1651"/>
      <c r="D42" s="1675"/>
      <c r="E42" s="1675"/>
      <c r="F42" s="2295"/>
      <c r="G42" s="2296"/>
      <c r="H42" s="2296"/>
      <c r="I42" s="2296"/>
      <c r="J42" s="2297"/>
      <c r="K42" s="1675"/>
      <c r="L42" s="348"/>
      <c r="M42" s="348"/>
      <c r="N42" s="913"/>
      <c r="O42" s="906"/>
    </row>
    <row r="43" spans="1:15" ht="14.4" customHeight="1" x14ac:dyDescent="0.25">
      <c r="A43" s="906"/>
      <c r="B43" s="1661"/>
      <c r="C43" s="1651"/>
      <c r="D43" s="1675"/>
      <c r="E43" s="1675"/>
      <c r="F43" s="2298"/>
      <c r="G43" s="2299"/>
      <c r="H43" s="2299"/>
      <c r="I43" s="2299"/>
      <c r="J43" s="2300"/>
      <c r="K43" s="1675"/>
      <c r="L43" s="348"/>
      <c r="M43" s="348"/>
      <c r="N43" s="913"/>
      <c r="O43" s="906"/>
    </row>
    <row r="44" spans="1:15" ht="14.4" customHeight="1" x14ac:dyDescent="0.25">
      <c r="A44" s="906"/>
      <c r="B44" s="1661"/>
      <c r="C44" s="1651"/>
      <c r="D44" s="348"/>
      <c r="E44" s="348"/>
      <c r="F44" s="348"/>
      <c r="G44" s="348"/>
      <c r="H44" s="348"/>
      <c r="I44" s="348"/>
      <c r="J44" s="348"/>
      <c r="K44" s="348"/>
      <c r="L44" s="348"/>
      <c r="M44" s="348"/>
      <c r="N44" s="913"/>
      <c r="O44" s="906"/>
    </row>
    <row r="45" spans="1:15" ht="14.4" customHeight="1" x14ac:dyDescent="0.3">
      <c r="A45" s="906"/>
      <c r="B45" s="1456"/>
      <c r="C45" s="1658"/>
      <c r="D45" s="1658" t="s">
        <v>1212</v>
      </c>
      <c r="E45" s="348"/>
      <c r="F45" s="1659" t="s">
        <v>1211</v>
      </c>
      <c r="G45" s="348"/>
      <c r="H45" s="348"/>
      <c r="I45" s="348"/>
      <c r="J45" s="348"/>
      <c r="K45" s="348"/>
      <c r="L45" s="348"/>
      <c r="M45" s="348"/>
      <c r="N45" s="913"/>
      <c r="O45" s="906"/>
    </row>
    <row r="46" spans="1:15" ht="14.4" customHeight="1" x14ac:dyDescent="0.3">
      <c r="A46" s="906"/>
      <c r="B46" s="1661"/>
      <c r="C46" s="1651"/>
      <c r="D46" s="348"/>
      <c r="E46" s="348"/>
      <c r="F46" s="1659" t="s">
        <v>1224</v>
      </c>
      <c r="G46" s="348"/>
      <c r="H46" s="348"/>
      <c r="I46" s="348"/>
      <c r="J46" s="348"/>
      <c r="K46" s="348"/>
      <c r="L46" s="348"/>
      <c r="M46" s="348"/>
      <c r="N46" s="913"/>
      <c r="O46" s="906"/>
    </row>
    <row r="47" spans="1:15" ht="14.4" customHeight="1" x14ac:dyDescent="0.3">
      <c r="A47" s="906"/>
      <c r="B47" s="1661"/>
      <c r="C47" s="1651"/>
      <c r="D47" s="348"/>
      <c r="E47" s="348"/>
      <c r="F47" s="1659" t="s">
        <v>1358</v>
      </c>
      <c r="G47" s="348"/>
      <c r="H47" s="348"/>
      <c r="I47" s="348"/>
      <c r="J47" s="348"/>
      <c r="K47" s="348"/>
      <c r="L47" s="348"/>
      <c r="M47" s="348"/>
      <c r="N47" s="913"/>
      <c r="O47" s="906"/>
    </row>
    <row r="48" spans="1:15" ht="14.4" customHeight="1" x14ac:dyDescent="0.25">
      <c r="A48" s="906"/>
      <c r="B48" s="1661"/>
      <c r="C48" s="1651"/>
      <c r="D48" s="348"/>
      <c r="E48" s="348"/>
      <c r="F48" s="348"/>
      <c r="G48" s="348"/>
      <c r="H48" s="348"/>
      <c r="I48" s="348"/>
      <c r="J48" s="348"/>
      <c r="K48" s="348"/>
      <c r="L48" s="348"/>
      <c r="M48" s="348"/>
      <c r="N48" s="913"/>
      <c r="O48" s="906"/>
    </row>
    <row r="49" spans="1:15" ht="14.4" customHeight="1" x14ac:dyDescent="0.25">
      <c r="A49" s="906"/>
      <c r="B49" s="1661"/>
      <c r="C49" s="1651"/>
      <c r="D49" s="348"/>
      <c r="E49" s="348"/>
      <c r="F49" s="2292" t="s">
        <v>1517</v>
      </c>
      <c r="G49" s="2293"/>
      <c r="H49" s="2293"/>
      <c r="I49" s="2293"/>
      <c r="J49" s="2294"/>
      <c r="K49" s="348"/>
      <c r="L49" s="348"/>
      <c r="M49" s="348"/>
      <c r="N49" s="913"/>
      <c r="O49" s="906"/>
    </row>
    <row r="50" spans="1:15" ht="14.4" customHeight="1" x14ac:dyDescent="0.25">
      <c r="A50" s="906"/>
      <c r="B50" s="1661"/>
      <c r="C50" s="1651"/>
      <c r="D50" s="348"/>
      <c r="E50" s="348"/>
      <c r="F50" s="2295"/>
      <c r="G50" s="2296"/>
      <c r="H50" s="2296"/>
      <c r="I50" s="2296"/>
      <c r="J50" s="2297"/>
      <c r="K50" s="348"/>
      <c r="L50" s="348"/>
      <c r="M50" s="348"/>
      <c r="N50" s="913"/>
      <c r="O50" s="906"/>
    </row>
    <row r="51" spans="1:15" ht="14.4" customHeight="1" x14ac:dyDescent="0.25">
      <c r="A51" s="906"/>
      <c r="B51" s="1661"/>
      <c r="C51" s="1651"/>
      <c r="D51" s="348"/>
      <c r="E51" s="348"/>
      <c r="F51" s="2295"/>
      <c r="G51" s="2296"/>
      <c r="H51" s="2296"/>
      <c r="I51" s="2296"/>
      <c r="J51" s="2297"/>
      <c r="K51" s="348"/>
      <c r="L51" s="348"/>
      <c r="M51" s="348"/>
      <c r="N51" s="913"/>
      <c r="O51" s="906"/>
    </row>
    <row r="52" spans="1:15" ht="14.4" customHeight="1" x14ac:dyDescent="0.25">
      <c r="A52" s="906"/>
      <c r="B52" s="1661"/>
      <c r="C52" s="1651"/>
      <c r="D52" s="348"/>
      <c r="E52" s="348"/>
      <c r="F52" s="2295"/>
      <c r="G52" s="2296"/>
      <c r="H52" s="2296"/>
      <c r="I52" s="2296"/>
      <c r="J52" s="2297"/>
      <c r="K52" s="348"/>
      <c r="L52" s="348"/>
      <c r="M52" s="348"/>
      <c r="N52" s="913"/>
      <c r="O52" s="906"/>
    </row>
    <row r="53" spans="1:15" ht="12.6" customHeight="1" x14ac:dyDescent="0.25">
      <c r="A53" s="906"/>
      <c r="B53" s="1662"/>
      <c r="C53" s="1651"/>
      <c r="D53" s="1656"/>
      <c r="E53" s="1652"/>
      <c r="F53" s="2295"/>
      <c r="G53" s="2296"/>
      <c r="H53" s="2296"/>
      <c r="I53" s="2296"/>
      <c r="J53" s="2297"/>
      <c r="K53" s="1652"/>
      <c r="L53" s="348"/>
      <c r="M53" s="348"/>
      <c r="N53" s="913"/>
      <c r="O53" s="906"/>
    </row>
    <row r="54" spans="1:15" ht="12.6" customHeight="1" x14ac:dyDescent="0.25">
      <c r="A54" s="906"/>
      <c r="B54" s="1662"/>
      <c r="C54" s="348"/>
      <c r="D54" s="1656"/>
      <c r="E54" s="1652"/>
      <c r="F54" s="2295"/>
      <c r="G54" s="2296"/>
      <c r="H54" s="2296"/>
      <c r="I54" s="2296"/>
      <c r="J54" s="2297"/>
      <c r="K54" s="1652"/>
      <c r="L54" s="348"/>
      <c r="M54" s="348"/>
      <c r="N54" s="913"/>
      <c r="O54" s="906"/>
    </row>
    <row r="55" spans="1:15" ht="12.6" customHeight="1" x14ac:dyDescent="0.25">
      <c r="A55" s="906"/>
      <c r="B55" s="1662"/>
      <c r="C55" s="348"/>
      <c r="D55" s="1656"/>
      <c r="E55" s="1652"/>
      <c r="F55" s="2295"/>
      <c r="G55" s="2296"/>
      <c r="H55" s="2296"/>
      <c r="I55" s="2296"/>
      <c r="J55" s="2297"/>
      <c r="K55" s="1652"/>
      <c r="L55" s="348"/>
      <c r="M55" s="348"/>
      <c r="N55" s="913"/>
      <c r="O55" s="906"/>
    </row>
    <row r="56" spans="1:15" ht="12.6" customHeight="1" x14ac:dyDescent="0.25">
      <c r="A56" s="906"/>
      <c r="B56" s="1662"/>
      <c r="C56" s="348"/>
      <c r="D56" s="1656"/>
      <c r="E56" s="1652"/>
      <c r="F56" s="2298"/>
      <c r="G56" s="2299"/>
      <c r="H56" s="2299"/>
      <c r="I56" s="2299"/>
      <c r="J56" s="2300"/>
      <c r="K56" s="1652"/>
      <c r="L56" s="348"/>
      <c r="M56" s="348"/>
      <c r="N56" s="913"/>
      <c r="O56" s="906"/>
    </row>
    <row r="57" spans="1:15" x14ac:dyDescent="0.25">
      <c r="A57" s="906"/>
      <c r="B57" s="1662"/>
      <c r="C57" s="348"/>
      <c r="D57" s="1652"/>
      <c r="E57" s="1652"/>
      <c r="F57" s="1652"/>
      <c r="G57" s="1652"/>
      <c r="H57" s="1652"/>
      <c r="I57" s="1652"/>
      <c r="J57" s="1652"/>
      <c r="K57" s="1652"/>
      <c r="L57" s="348"/>
      <c r="M57" s="348"/>
      <c r="N57" s="913"/>
      <c r="O57" s="906"/>
    </row>
    <row r="58" spans="1:15" ht="15.6" x14ac:dyDescent="0.3">
      <c r="A58" s="906"/>
      <c r="B58" s="1662"/>
      <c r="C58" s="1658"/>
      <c r="D58" s="1667" t="s">
        <v>1213</v>
      </c>
      <c r="E58" s="1652"/>
      <c r="F58" s="1659" t="s">
        <v>1225</v>
      </c>
      <c r="G58" s="1652"/>
      <c r="H58" s="1652"/>
      <c r="I58" s="1652"/>
      <c r="J58" s="1652"/>
      <c r="K58" s="1652"/>
      <c r="L58" s="348"/>
      <c r="M58" s="348"/>
      <c r="N58" s="913"/>
      <c r="O58" s="906"/>
    </row>
    <row r="59" spans="1:15" ht="15.6" x14ac:dyDescent="0.3">
      <c r="A59" s="906"/>
      <c r="B59" s="1662"/>
      <c r="C59" s="1658"/>
      <c r="D59" s="1667"/>
      <c r="E59" s="1678"/>
      <c r="F59" s="1659" t="s">
        <v>1226</v>
      </c>
      <c r="G59" s="1678"/>
      <c r="H59" s="1678"/>
      <c r="I59" s="1678"/>
      <c r="J59" s="1678"/>
      <c r="K59" s="1678"/>
      <c r="L59" s="348"/>
      <c r="M59" s="348"/>
      <c r="N59" s="913"/>
      <c r="O59" s="906"/>
    </row>
    <row r="60" spans="1:15" ht="15.6" x14ac:dyDescent="0.3">
      <c r="A60" s="906"/>
      <c r="B60" s="1662"/>
      <c r="C60" s="1658"/>
      <c r="D60" s="1667"/>
      <c r="E60" s="1678"/>
      <c r="F60" s="1659" t="s">
        <v>1227</v>
      </c>
      <c r="G60" s="1678"/>
      <c r="H60" s="1678"/>
      <c r="I60" s="1678"/>
      <c r="J60" s="1678"/>
      <c r="K60" s="1678"/>
      <c r="L60" s="348"/>
      <c r="M60" s="348"/>
      <c r="N60" s="913"/>
      <c r="O60" s="906"/>
    </row>
    <row r="61" spans="1:15" x14ac:dyDescent="0.25">
      <c r="A61" s="906"/>
      <c r="B61" s="1662"/>
      <c r="C61" s="348"/>
      <c r="D61" s="1652"/>
      <c r="E61" s="1652"/>
      <c r="F61" s="1652"/>
      <c r="G61" s="1652"/>
      <c r="H61" s="1652"/>
      <c r="I61" s="1652"/>
      <c r="J61" s="1652"/>
      <c r="K61" s="1652"/>
      <c r="L61" s="348"/>
      <c r="M61" s="348"/>
      <c r="N61" s="913"/>
      <c r="O61" s="906"/>
    </row>
    <row r="62" spans="1:15" x14ac:dyDescent="0.25">
      <c r="A62" s="906"/>
      <c r="B62" s="1662"/>
      <c r="C62" s="348"/>
      <c r="D62" s="1652"/>
      <c r="E62" s="1652"/>
      <c r="F62" s="2292" t="s">
        <v>1541</v>
      </c>
      <c r="G62" s="2293"/>
      <c r="H62" s="2293"/>
      <c r="I62" s="2293"/>
      <c r="J62" s="2294"/>
      <c r="K62" s="1652"/>
      <c r="L62" s="348"/>
      <c r="M62" s="348"/>
      <c r="N62" s="913"/>
      <c r="O62" s="906"/>
    </row>
    <row r="63" spans="1:15" x14ac:dyDescent="0.25">
      <c r="A63" s="906"/>
      <c r="B63" s="1662"/>
      <c r="C63" s="348"/>
      <c r="D63" s="1652"/>
      <c r="E63" s="1652"/>
      <c r="F63" s="2295"/>
      <c r="G63" s="2296"/>
      <c r="H63" s="2296"/>
      <c r="I63" s="2296"/>
      <c r="J63" s="2297"/>
      <c r="K63" s="1652"/>
      <c r="L63" s="348"/>
      <c r="M63" s="348"/>
      <c r="N63" s="913"/>
      <c r="O63" s="906"/>
    </row>
    <row r="64" spans="1:15" x14ac:dyDescent="0.25">
      <c r="A64" s="906"/>
      <c r="B64" s="1662"/>
      <c r="C64" s="348"/>
      <c r="D64" s="1652"/>
      <c r="E64" s="1652"/>
      <c r="F64" s="2295"/>
      <c r="G64" s="2296"/>
      <c r="H64" s="2296"/>
      <c r="I64" s="2296"/>
      <c r="J64" s="2297"/>
      <c r="K64" s="1652"/>
      <c r="L64" s="348"/>
      <c r="M64" s="348"/>
      <c r="N64" s="913"/>
      <c r="O64" s="906"/>
    </row>
    <row r="65" spans="1:15" x14ac:dyDescent="0.25">
      <c r="A65" s="906"/>
      <c r="B65" s="1662"/>
      <c r="C65" s="348"/>
      <c r="D65" s="1652"/>
      <c r="E65" s="1652"/>
      <c r="F65" s="2295"/>
      <c r="G65" s="2296"/>
      <c r="H65" s="2296"/>
      <c r="I65" s="2296"/>
      <c r="J65" s="2297"/>
      <c r="K65" s="1652"/>
      <c r="L65" s="348"/>
      <c r="M65" s="348"/>
      <c r="N65" s="913"/>
      <c r="O65" s="906"/>
    </row>
    <row r="66" spans="1:15" x14ac:dyDescent="0.25">
      <c r="A66" s="906"/>
      <c r="B66" s="1662"/>
      <c r="C66" s="348"/>
      <c r="D66" s="1652"/>
      <c r="E66" s="1652"/>
      <c r="F66" s="2295"/>
      <c r="G66" s="2296"/>
      <c r="H66" s="2296"/>
      <c r="I66" s="2296"/>
      <c r="J66" s="2297"/>
      <c r="K66" s="1652"/>
      <c r="L66" s="348"/>
      <c r="M66" s="348"/>
      <c r="N66" s="913"/>
      <c r="O66" s="906"/>
    </row>
    <row r="67" spans="1:15" x14ac:dyDescent="0.25">
      <c r="A67" s="906"/>
      <c r="B67" s="1662"/>
      <c r="C67" s="348"/>
      <c r="D67" s="1652"/>
      <c r="E67" s="1652"/>
      <c r="F67" s="2298"/>
      <c r="G67" s="2299"/>
      <c r="H67" s="2299"/>
      <c r="I67" s="2299"/>
      <c r="J67" s="2300"/>
      <c r="K67" s="1652"/>
      <c r="L67" s="348"/>
      <c r="M67" s="348"/>
      <c r="N67" s="913"/>
      <c r="O67" s="906"/>
    </row>
    <row r="68" spans="1:15" x14ac:dyDescent="0.25">
      <c r="A68" s="906"/>
      <c r="B68" s="1662"/>
      <c r="C68" s="348"/>
      <c r="D68" s="1652"/>
      <c r="E68" s="1652"/>
      <c r="F68" s="1652"/>
      <c r="G68" s="1652"/>
      <c r="H68" s="1652"/>
      <c r="I68" s="1652"/>
      <c r="J68" s="1652"/>
      <c r="K68" s="1652"/>
      <c r="L68" s="348"/>
      <c r="M68" s="348"/>
      <c r="N68" s="913"/>
      <c r="O68" s="906"/>
    </row>
    <row r="69" spans="1:15" ht="14.4" x14ac:dyDescent="0.3">
      <c r="A69" s="906"/>
      <c r="B69" s="1662"/>
      <c r="C69" s="348"/>
      <c r="D69" s="1668"/>
      <c r="E69" s="1668"/>
      <c r="F69" s="1659" t="s">
        <v>1230</v>
      </c>
      <c r="G69" s="1668"/>
      <c r="H69" s="1668"/>
      <c r="I69" s="1668"/>
      <c r="J69" s="1668"/>
      <c r="K69" s="1668"/>
      <c r="L69" s="348"/>
      <c r="M69" s="348"/>
      <c r="N69" s="913"/>
      <c r="O69" s="906"/>
    </row>
    <row r="70" spans="1:15" ht="14.4" x14ac:dyDescent="0.3">
      <c r="A70" s="906"/>
      <c r="B70" s="1662"/>
      <c r="C70" s="348"/>
      <c r="D70" s="1668"/>
      <c r="E70" s="1668"/>
      <c r="F70" s="1659" t="s">
        <v>1359</v>
      </c>
      <c r="G70" s="1668"/>
      <c r="H70" s="1668"/>
      <c r="I70" s="1668"/>
      <c r="J70" s="1668"/>
      <c r="K70" s="1668"/>
      <c r="L70" s="348"/>
      <c r="M70" s="348"/>
      <c r="N70" s="913"/>
      <c r="O70" s="906"/>
    </row>
    <row r="71" spans="1:15" x14ac:dyDescent="0.25">
      <c r="A71" s="906"/>
      <c r="B71" s="1662"/>
      <c r="C71" s="348"/>
      <c r="D71" s="1668"/>
      <c r="E71" s="1668"/>
      <c r="F71" s="1668"/>
      <c r="G71" s="1668"/>
      <c r="H71" s="1668"/>
      <c r="I71" s="1668"/>
      <c r="J71" s="1668"/>
      <c r="K71" s="1668"/>
      <c r="L71" s="348"/>
      <c r="M71" s="348"/>
      <c r="N71" s="913"/>
      <c r="O71" s="906"/>
    </row>
    <row r="72" spans="1:15" x14ac:dyDescent="0.25">
      <c r="A72" s="906"/>
      <c r="B72" s="1662"/>
      <c r="C72" s="348"/>
      <c r="D72" s="1668"/>
      <c r="E72" s="1668"/>
      <c r="F72" s="2292" t="s">
        <v>1542</v>
      </c>
      <c r="G72" s="2293"/>
      <c r="H72" s="2293"/>
      <c r="I72" s="2293"/>
      <c r="J72" s="2294"/>
      <c r="K72" s="1668"/>
      <c r="L72" s="348"/>
      <c r="M72" s="348"/>
      <c r="N72" s="913"/>
      <c r="O72" s="906"/>
    </row>
    <row r="73" spans="1:15" x14ac:dyDescent="0.25">
      <c r="A73" s="906"/>
      <c r="B73" s="1662"/>
      <c r="C73" s="348"/>
      <c r="D73" s="1668"/>
      <c r="E73" s="1668"/>
      <c r="F73" s="2295"/>
      <c r="G73" s="2296"/>
      <c r="H73" s="2296"/>
      <c r="I73" s="2296"/>
      <c r="J73" s="2297"/>
      <c r="K73" s="1668"/>
      <c r="L73" s="348"/>
      <c r="M73" s="348"/>
      <c r="N73" s="913"/>
      <c r="O73" s="906"/>
    </row>
    <row r="74" spans="1:15" x14ac:dyDescent="0.25">
      <c r="A74" s="906"/>
      <c r="B74" s="1662"/>
      <c r="C74" s="348"/>
      <c r="D74" s="1668"/>
      <c r="E74" s="1668"/>
      <c r="F74" s="2295"/>
      <c r="G74" s="2296"/>
      <c r="H74" s="2296"/>
      <c r="I74" s="2296"/>
      <c r="J74" s="2297"/>
      <c r="K74" s="1668"/>
      <c r="L74" s="348"/>
      <c r="M74" s="348"/>
      <c r="N74" s="913"/>
      <c r="O74" s="906"/>
    </row>
    <row r="75" spans="1:15" x14ac:dyDescent="0.25">
      <c r="A75" s="906"/>
      <c r="B75" s="1662"/>
      <c r="C75" s="348"/>
      <c r="D75" s="1668"/>
      <c r="E75" s="1668"/>
      <c r="F75" s="2298"/>
      <c r="G75" s="2299"/>
      <c r="H75" s="2299"/>
      <c r="I75" s="2299"/>
      <c r="J75" s="2300"/>
      <c r="K75" s="1668"/>
      <c r="L75" s="348"/>
      <c r="M75" s="348"/>
      <c r="N75" s="913"/>
      <c r="O75" s="906"/>
    </row>
    <row r="76" spans="1:15" x14ac:dyDescent="0.25">
      <c r="A76" s="906"/>
      <c r="B76" s="1662"/>
      <c r="C76" s="348"/>
      <c r="D76" s="1652"/>
      <c r="E76" s="1652"/>
      <c r="F76" s="1652"/>
      <c r="G76" s="1652"/>
      <c r="H76" s="1652"/>
      <c r="I76" s="1652"/>
      <c r="J76" s="1652"/>
      <c r="K76" s="1652"/>
      <c r="L76" s="348"/>
      <c r="M76" s="348"/>
      <c r="N76" s="913"/>
      <c r="O76" s="906"/>
    </row>
    <row r="77" spans="1:15" x14ac:dyDescent="0.25">
      <c r="A77" s="906"/>
      <c r="B77" s="912"/>
      <c r="C77" s="909"/>
      <c r="D77" s="909"/>
      <c r="E77" s="909"/>
      <c r="F77" s="909"/>
      <c r="G77" s="909"/>
      <c r="H77" s="909"/>
      <c r="I77" s="909"/>
      <c r="J77" s="909"/>
      <c r="K77" s="909"/>
      <c r="L77" s="909"/>
      <c r="M77" s="909"/>
      <c r="N77" s="913"/>
      <c r="O77" s="906"/>
    </row>
    <row r="78" spans="1:15" ht="13.8" thickBot="1" x14ac:dyDescent="0.3">
      <c r="A78" s="906"/>
      <c r="B78" s="914"/>
      <c r="C78" s="1666"/>
      <c r="D78" s="915"/>
      <c r="E78" s="915"/>
      <c r="F78" s="915"/>
      <c r="G78" s="915"/>
      <c r="H78" s="915"/>
      <c r="I78" s="915"/>
      <c r="J78" s="915"/>
      <c r="K78" s="915"/>
      <c r="L78" s="915"/>
      <c r="M78" s="915"/>
      <c r="N78" s="916"/>
      <c r="O78" s="906"/>
    </row>
    <row r="79" spans="1:15" ht="13.8" thickTop="1" x14ac:dyDescent="0.25">
      <c r="A79" s="906"/>
      <c r="B79" s="906"/>
      <c r="C79" s="1665"/>
      <c r="D79" s="906"/>
      <c r="E79" s="906"/>
      <c r="F79" s="906"/>
      <c r="G79" s="906"/>
      <c r="H79" s="906"/>
      <c r="I79" s="906"/>
      <c r="J79" s="906"/>
      <c r="K79" s="906"/>
      <c r="L79" s="906"/>
      <c r="M79" s="906"/>
      <c r="N79" s="906"/>
      <c r="O79" s="906"/>
    </row>
    <row r="80" spans="1:15" x14ac:dyDescent="0.25">
      <c r="A80" s="906"/>
      <c r="B80" s="906"/>
      <c r="C80" s="906"/>
      <c r="D80" s="906"/>
      <c r="E80" s="906"/>
      <c r="F80" s="906"/>
      <c r="G80" s="906"/>
      <c r="H80" s="906"/>
      <c r="I80" s="906"/>
      <c r="J80" s="906"/>
      <c r="K80" s="906"/>
      <c r="L80" s="906"/>
      <c r="M80" s="906"/>
      <c r="N80" s="906"/>
      <c r="O80" s="906"/>
    </row>
    <row r="81" spans="1:15" x14ac:dyDescent="0.25">
      <c r="A81" s="906"/>
      <c r="B81" s="906"/>
      <c r="C81" s="906"/>
      <c r="D81" s="906"/>
      <c r="E81" s="906"/>
      <c r="F81" s="906"/>
      <c r="G81" s="906"/>
      <c r="H81" s="906"/>
      <c r="I81" s="906"/>
      <c r="J81" s="906"/>
      <c r="K81" s="906"/>
      <c r="L81" s="906"/>
      <c r="M81" s="906"/>
      <c r="N81" s="906"/>
      <c r="O81" s="906"/>
    </row>
    <row r="82" spans="1:15" x14ac:dyDescent="0.25">
      <c r="A82" s="906"/>
      <c r="B82" s="906"/>
      <c r="C82" s="906"/>
      <c r="D82" s="906"/>
      <c r="E82" s="906"/>
      <c r="F82" s="906"/>
      <c r="G82" s="906"/>
      <c r="H82" s="906"/>
      <c r="I82" s="906"/>
      <c r="J82" s="906"/>
      <c r="K82" s="906"/>
      <c r="L82" s="906"/>
      <c r="M82" s="906"/>
      <c r="N82" s="906"/>
      <c r="O82" s="906"/>
    </row>
    <row r="83" spans="1:15" x14ac:dyDescent="0.25">
      <c r="A83" s="906"/>
      <c r="B83" s="906"/>
      <c r="C83" s="906"/>
      <c r="D83" s="906"/>
      <c r="E83" s="906"/>
      <c r="F83" s="906"/>
      <c r="G83" s="906"/>
      <c r="H83" s="906"/>
      <c r="I83" s="906"/>
      <c r="J83" s="906"/>
      <c r="K83" s="906"/>
      <c r="L83" s="906"/>
      <c r="M83" s="906"/>
      <c r="N83" s="906"/>
      <c r="O83" s="906"/>
    </row>
    <row r="84" spans="1:15" x14ac:dyDescent="0.25">
      <c r="A84" s="20"/>
      <c r="B84" s="20"/>
      <c r="C84" s="20"/>
      <c r="D84" s="20"/>
      <c r="E84" s="20"/>
      <c r="F84" s="20"/>
      <c r="G84" s="20"/>
      <c r="H84" s="20"/>
      <c r="I84" s="20"/>
      <c r="J84" s="20"/>
      <c r="K84" s="20"/>
      <c r="L84" s="20"/>
      <c r="M84" s="20"/>
      <c r="N84" s="20"/>
      <c r="O84" s="20"/>
    </row>
    <row r="85" spans="1:15" x14ac:dyDescent="0.25">
      <c r="A85" s="20"/>
      <c r="B85" s="20"/>
      <c r="C85" s="20"/>
      <c r="D85" s="20"/>
      <c r="E85" s="20"/>
      <c r="F85" s="20"/>
      <c r="G85" s="20"/>
      <c r="H85" s="20"/>
      <c r="I85" s="20"/>
      <c r="J85" s="20"/>
      <c r="K85" s="20"/>
      <c r="L85" s="20"/>
      <c r="M85" s="20"/>
      <c r="N85" s="20"/>
      <c r="O85" s="20"/>
    </row>
    <row r="86" spans="1:15" x14ac:dyDescent="0.25">
      <c r="A86" s="20"/>
      <c r="B86" s="20"/>
      <c r="C86" s="20"/>
      <c r="D86" s="20"/>
      <c r="E86" s="20"/>
      <c r="F86" s="20"/>
      <c r="G86" s="20"/>
      <c r="H86" s="20"/>
      <c r="I86" s="20"/>
      <c r="J86" s="20"/>
      <c r="K86" s="20"/>
      <c r="L86" s="20"/>
      <c r="M86" s="20"/>
      <c r="N86" s="20"/>
      <c r="O86" s="20"/>
    </row>
    <row r="87" spans="1:15" x14ac:dyDescent="0.25">
      <c r="A87" s="20"/>
      <c r="B87" s="20"/>
      <c r="C87" s="20"/>
      <c r="D87" s="20"/>
      <c r="E87" s="20"/>
      <c r="F87" s="20"/>
      <c r="G87" s="20"/>
      <c r="H87" s="20"/>
      <c r="I87" s="20"/>
      <c r="J87" s="20"/>
      <c r="K87" s="20"/>
      <c r="L87" s="20"/>
      <c r="M87" s="20"/>
      <c r="N87" s="20"/>
      <c r="O87" s="20"/>
    </row>
    <row r="88" spans="1:15" x14ac:dyDescent="0.25">
      <c r="A88" s="20"/>
      <c r="B88" s="20"/>
      <c r="C88" s="20"/>
      <c r="D88" s="20"/>
      <c r="E88" s="20"/>
      <c r="F88" s="20"/>
      <c r="G88" s="20"/>
      <c r="H88" s="20"/>
      <c r="I88" s="20"/>
      <c r="J88" s="20"/>
      <c r="K88" s="20"/>
      <c r="L88" s="20"/>
      <c r="M88" s="20"/>
      <c r="N88" s="20"/>
      <c r="O88" s="20"/>
    </row>
    <row r="89" spans="1:15" x14ac:dyDescent="0.25">
      <c r="A89" s="20"/>
      <c r="B89" s="20"/>
      <c r="C89" s="20"/>
      <c r="D89" s="20"/>
      <c r="E89" s="20"/>
      <c r="F89" s="20"/>
      <c r="G89" s="20"/>
      <c r="H89" s="20"/>
      <c r="I89" s="20"/>
      <c r="J89" s="20"/>
      <c r="K89" s="20"/>
      <c r="L89" s="20"/>
      <c r="M89" s="20"/>
      <c r="N89" s="20"/>
      <c r="O89" s="20"/>
    </row>
    <row r="90" spans="1:15" x14ac:dyDescent="0.25">
      <c r="A90" s="20"/>
      <c r="B90" s="20"/>
      <c r="C90" s="20"/>
      <c r="D90" s="20"/>
      <c r="E90" s="20"/>
      <c r="F90" s="20"/>
      <c r="G90" s="20"/>
      <c r="H90" s="20"/>
      <c r="I90" s="20"/>
      <c r="J90" s="20"/>
      <c r="K90" s="20"/>
      <c r="L90" s="20"/>
      <c r="M90" s="20"/>
      <c r="N90" s="20"/>
      <c r="O90" s="20"/>
    </row>
    <row r="91" spans="1:15" x14ac:dyDescent="0.25">
      <c r="A91" s="20"/>
      <c r="B91" s="20"/>
      <c r="C91" s="20"/>
      <c r="D91" s="20"/>
      <c r="E91" s="20"/>
      <c r="F91" s="20"/>
      <c r="G91" s="20"/>
      <c r="H91" s="20"/>
      <c r="I91" s="20"/>
      <c r="J91" s="20"/>
      <c r="K91" s="20"/>
      <c r="L91" s="20"/>
      <c r="M91" s="20"/>
      <c r="N91" s="20"/>
      <c r="O91" s="20"/>
    </row>
    <row r="92" spans="1:15" x14ac:dyDescent="0.25">
      <c r="A92" s="20"/>
      <c r="B92" s="20"/>
      <c r="C92" s="20"/>
      <c r="D92" s="20"/>
      <c r="E92" s="20"/>
      <c r="F92" s="20"/>
      <c r="G92" s="20"/>
      <c r="H92" s="20"/>
      <c r="I92" s="20"/>
      <c r="J92" s="20"/>
      <c r="K92" s="20"/>
      <c r="L92" s="20"/>
      <c r="M92" s="20"/>
      <c r="N92" s="20"/>
      <c r="O92" s="20"/>
    </row>
    <row r="93" spans="1:15" x14ac:dyDescent="0.25">
      <c r="A93" s="20"/>
      <c r="B93" s="20"/>
      <c r="C93" s="20"/>
      <c r="D93" s="20"/>
      <c r="E93" s="20"/>
      <c r="F93" s="20"/>
      <c r="G93" s="20"/>
      <c r="H93" s="20"/>
      <c r="I93" s="20"/>
      <c r="J93" s="20"/>
      <c r="K93" s="20"/>
      <c r="L93" s="20"/>
      <c r="M93" s="20"/>
      <c r="N93" s="20"/>
      <c r="O93" s="20"/>
    </row>
    <row r="94" spans="1:15" x14ac:dyDescent="0.25">
      <c r="A94" s="20"/>
      <c r="B94" s="20"/>
      <c r="C94" s="20"/>
      <c r="D94" s="20"/>
      <c r="E94" s="20"/>
      <c r="F94" s="20"/>
      <c r="G94" s="20"/>
      <c r="H94" s="20"/>
      <c r="I94" s="20"/>
      <c r="J94" s="20"/>
      <c r="K94" s="20"/>
      <c r="L94" s="20"/>
      <c r="M94" s="20"/>
      <c r="N94" s="20"/>
      <c r="O94" s="20"/>
    </row>
    <row r="95" spans="1:15" x14ac:dyDescent="0.25">
      <c r="A95" s="20"/>
      <c r="B95" s="20"/>
      <c r="C95" s="20"/>
      <c r="D95" s="20"/>
      <c r="E95" s="20"/>
      <c r="F95" s="20"/>
      <c r="G95" s="20"/>
      <c r="H95" s="20"/>
      <c r="I95" s="20"/>
      <c r="J95" s="20"/>
      <c r="K95" s="20"/>
      <c r="L95" s="20"/>
      <c r="M95" s="20"/>
      <c r="N95" s="20"/>
      <c r="O95" s="20"/>
    </row>
    <row r="96" spans="1:15" x14ac:dyDescent="0.25">
      <c r="A96" s="20"/>
      <c r="B96" s="20"/>
      <c r="C96" s="20"/>
      <c r="D96" s="20"/>
      <c r="E96" s="20"/>
      <c r="F96" s="20"/>
      <c r="G96" s="20"/>
      <c r="H96" s="20"/>
      <c r="I96" s="20"/>
      <c r="J96" s="20"/>
      <c r="K96" s="20"/>
      <c r="L96" s="20"/>
      <c r="M96" s="20"/>
      <c r="N96" s="20"/>
      <c r="O96" s="20"/>
    </row>
    <row r="97" spans="1:15" x14ac:dyDescent="0.25">
      <c r="A97" s="20"/>
      <c r="B97" s="20"/>
      <c r="C97" s="20"/>
      <c r="D97" s="20"/>
      <c r="E97" s="20"/>
      <c r="F97" s="20"/>
      <c r="G97" s="20"/>
      <c r="H97" s="20"/>
      <c r="I97" s="20"/>
      <c r="J97" s="20"/>
      <c r="K97" s="20"/>
      <c r="L97" s="20"/>
      <c r="M97" s="20"/>
      <c r="N97" s="20"/>
      <c r="O97" s="20"/>
    </row>
    <row r="98" spans="1:15" x14ac:dyDescent="0.25">
      <c r="A98" s="20"/>
      <c r="B98" s="20"/>
      <c r="C98" s="20"/>
      <c r="D98" s="20"/>
      <c r="E98" s="20"/>
      <c r="F98" s="20"/>
      <c r="G98" s="20"/>
      <c r="H98" s="20"/>
      <c r="I98" s="20"/>
      <c r="J98" s="20"/>
      <c r="K98" s="20"/>
      <c r="L98" s="20"/>
      <c r="M98" s="20"/>
      <c r="N98" s="20"/>
      <c r="O98" s="20"/>
    </row>
    <row r="99" spans="1:15" x14ac:dyDescent="0.25">
      <c r="A99" s="20"/>
      <c r="B99" s="20"/>
      <c r="C99" s="20"/>
      <c r="D99" s="20"/>
      <c r="E99" s="20"/>
      <c r="F99" s="20"/>
      <c r="G99" s="20"/>
      <c r="H99" s="20"/>
      <c r="I99" s="20"/>
      <c r="J99" s="20"/>
      <c r="K99" s="20"/>
      <c r="L99" s="20"/>
      <c r="M99" s="20"/>
      <c r="N99" s="20"/>
      <c r="O99" s="20"/>
    </row>
    <row r="100" spans="1:15" x14ac:dyDescent="0.25">
      <c r="A100" s="20"/>
      <c r="B100" s="20"/>
      <c r="C100" s="20"/>
      <c r="D100" s="20"/>
      <c r="E100" s="20"/>
      <c r="F100" s="20"/>
      <c r="G100" s="20"/>
      <c r="H100" s="20"/>
      <c r="I100" s="20"/>
      <c r="J100" s="20"/>
      <c r="K100" s="20"/>
      <c r="L100" s="20"/>
      <c r="M100" s="20"/>
      <c r="N100" s="20"/>
      <c r="O100" s="20"/>
    </row>
    <row r="101" spans="1:15" x14ac:dyDescent="0.25">
      <c r="A101" s="20"/>
      <c r="B101" s="20"/>
      <c r="C101" s="20"/>
      <c r="D101" s="20"/>
      <c r="E101" s="20"/>
      <c r="F101" s="20"/>
      <c r="G101" s="20"/>
      <c r="H101" s="20"/>
      <c r="I101" s="20"/>
      <c r="J101" s="20"/>
      <c r="K101" s="20"/>
      <c r="L101" s="20"/>
      <c r="M101" s="20"/>
      <c r="N101" s="20"/>
      <c r="O101" s="20"/>
    </row>
    <row r="102" spans="1:15" x14ac:dyDescent="0.25">
      <c r="A102" s="20"/>
      <c r="B102" s="20"/>
      <c r="C102" s="20"/>
      <c r="D102" s="20"/>
      <c r="E102" s="20"/>
      <c r="F102" s="20"/>
      <c r="G102" s="20"/>
      <c r="H102" s="20"/>
      <c r="I102" s="20"/>
      <c r="J102" s="20"/>
      <c r="K102" s="20"/>
      <c r="L102" s="20"/>
      <c r="M102" s="20"/>
      <c r="N102" s="20"/>
      <c r="O102" s="20"/>
    </row>
    <row r="103" spans="1:15" x14ac:dyDescent="0.25">
      <c r="A103" s="20"/>
      <c r="B103" s="20"/>
      <c r="C103" s="20"/>
      <c r="D103" s="20"/>
      <c r="E103" s="20"/>
      <c r="F103" s="20"/>
      <c r="G103" s="20"/>
      <c r="H103" s="20"/>
      <c r="I103" s="20"/>
      <c r="J103" s="20"/>
      <c r="K103" s="20"/>
      <c r="L103" s="20"/>
      <c r="M103" s="20"/>
      <c r="N103" s="20"/>
      <c r="O103" s="20"/>
    </row>
    <row r="104" spans="1:15" x14ac:dyDescent="0.25">
      <c r="A104" s="20"/>
      <c r="B104" s="20"/>
      <c r="C104" s="20"/>
      <c r="D104" s="20"/>
      <c r="E104" s="20"/>
      <c r="F104" s="20"/>
      <c r="G104" s="20"/>
      <c r="H104" s="20"/>
      <c r="I104" s="20"/>
      <c r="J104" s="20"/>
      <c r="K104" s="20"/>
      <c r="L104" s="20"/>
      <c r="M104" s="20"/>
      <c r="N104" s="20"/>
      <c r="O104" s="20"/>
    </row>
    <row r="105" spans="1:15" x14ac:dyDescent="0.25">
      <c r="A105" s="20"/>
      <c r="B105" s="20"/>
      <c r="C105" s="20"/>
      <c r="D105" s="20"/>
      <c r="E105" s="20"/>
      <c r="F105" s="20"/>
      <c r="G105" s="20"/>
      <c r="H105" s="20"/>
      <c r="I105" s="20"/>
      <c r="J105" s="20"/>
      <c r="K105" s="20"/>
      <c r="L105" s="20"/>
      <c r="M105" s="20"/>
      <c r="N105" s="20"/>
      <c r="O105" s="20"/>
    </row>
    <row r="106" spans="1:15" x14ac:dyDescent="0.25">
      <c r="A106" s="20"/>
      <c r="B106" s="20"/>
      <c r="C106" s="20"/>
      <c r="D106" s="20"/>
      <c r="E106" s="20"/>
      <c r="F106" s="20"/>
      <c r="G106" s="20"/>
      <c r="H106" s="20"/>
      <c r="I106" s="20"/>
      <c r="J106" s="20"/>
      <c r="K106" s="20"/>
      <c r="L106" s="20"/>
      <c r="M106" s="20"/>
      <c r="N106" s="20"/>
      <c r="O106" s="20"/>
    </row>
    <row r="107" spans="1:15" x14ac:dyDescent="0.25">
      <c r="A107" s="20"/>
      <c r="B107" s="20"/>
      <c r="C107" s="20"/>
      <c r="D107" s="20"/>
      <c r="E107" s="20"/>
      <c r="F107" s="20"/>
      <c r="G107" s="20"/>
      <c r="H107" s="20"/>
      <c r="I107" s="20"/>
      <c r="J107" s="20"/>
      <c r="K107" s="20"/>
      <c r="L107" s="20"/>
      <c r="M107" s="20"/>
      <c r="N107" s="20"/>
      <c r="O107" s="20"/>
    </row>
    <row r="108" spans="1:15" x14ac:dyDescent="0.25">
      <c r="A108" s="20"/>
      <c r="B108" s="20"/>
      <c r="C108" s="20"/>
      <c r="D108" s="20"/>
      <c r="E108" s="20"/>
      <c r="F108" s="20"/>
      <c r="G108" s="20"/>
      <c r="H108" s="20"/>
      <c r="I108" s="20"/>
      <c r="J108" s="20"/>
      <c r="K108" s="20"/>
      <c r="L108" s="20"/>
      <c r="M108" s="20"/>
      <c r="N108" s="20"/>
      <c r="O108" s="20"/>
    </row>
    <row r="109" spans="1:15" x14ac:dyDescent="0.25">
      <c r="A109" s="20"/>
      <c r="B109" s="20"/>
      <c r="C109" s="20"/>
      <c r="D109" s="20"/>
      <c r="E109" s="20"/>
      <c r="F109" s="20"/>
      <c r="G109" s="20"/>
      <c r="H109" s="20"/>
      <c r="I109" s="20"/>
      <c r="J109" s="20"/>
      <c r="K109" s="20"/>
      <c r="L109" s="20"/>
      <c r="M109" s="20"/>
      <c r="N109" s="20"/>
      <c r="O109" s="20"/>
    </row>
    <row r="110" spans="1:15" x14ac:dyDescent="0.25">
      <c r="A110" s="20"/>
      <c r="B110" s="20"/>
      <c r="C110" s="20"/>
      <c r="D110" s="20"/>
      <c r="E110" s="20"/>
      <c r="F110" s="20"/>
      <c r="G110" s="20"/>
      <c r="H110" s="20"/>
      <c r="I110" s="20"/>
      <c r="J110" s="20"/>
      <c r="K110" s="20"/>
      <c r="L110" s="20"/>
      <c r="M110" s="20"/>
      <c r="N110" s="20"/>
      <c r="O110" s="20"/>
    </row>
    <row r="111" spans="1:15" x14ac:dyDescent="0.25">
      <c r="A111" s="20"/>
      <c r="B111" s="20"/>
      <c r="C111" s="20"/>
      <c r="D111" s="20"/>
      <c r="E111" s="20"/>
      <c r="F111" s="20"/>
      <c r="G111" s="20"/>
      <c r="H111" s="20"/>
      <c r="I111" s="20"/>
      <c r="J111" s="20"/>
      <c r="K111" s="20"/>
      <c r="L111" s="20"/>
      <c r="M111" s="20"/>
      <c r="N111" s="20"/>
      <c r="O111" s="20"/>
    </row>
    <row r="112" spans="1:15" x14ac:dyDescent="0.25">
      <c r="A112" s="20"/>
      <c r="B112" s="20"/>
      <c r="C112" s="20"/>
      <c r="D112" s="20"/>
      <c r="E112" s="20"/>
      <c r="F112" s="20"/>
      <c r="G112" s="20"/>
      <c r="H112" s="20"/>
      <c r="I112" s="20"/>
      <c r="J112" s="20"/>
      <c r="K112" s="20"/>
      <c r="L112" s="20"/>
      <c r="M112" s="20"/>
      <c r="N112" s="20"/>
      <c r="O112" s="20"/>
    </row>
    <row r="113" spans="1:15" x14ac:dyDescent="0.25">
      <c r="A113" s="20"/>
      <c r="B113" s="20"/>
      <c r="C113" s="20"/>
      <c r="D113" s="20"/>
      <c r="E113" s="20"/>
      <c r="F113" s="20"/>
      <c r="G113" s="20"/>
      <c r="H113" s="20"/>
      <c r="I113" s="20"/>
      <c r="J113" s="20"/>
      <c r="K113" s="20"/>
      <c r="L113" s="20"/>
      <c r="M113" s="20"/>
      <c r="N113" s="20"/>
      <c r="O113" s="20"/>
    </row>
    <row r="114" spans="1:15" x14ac:dyDescent="0.25">
      <c r="A114" s="20"/>
      <c r="B114" s="20"/>
      <c r="C114" s="20"/>
      <c r="D114" s="20"/>
      <c r="E114" s="20"/>
      <c r="F114" s="20"/>
      <c r="G114" s="20"/>
      <c r="H114" s="20"/>
      <c r="I114" s="20"/>
      <c r="J114" s="20"/>
      <c r="K114" s="20"/>
      <c r="L114" s="20"/>
      <c r="M114" s="20"/>
      <c r="N114" s="20"/>
      <c r="O114" s="20"/>
    </row>
    <row r="115" spans="1:15" x14ac:dyDescent="0.25">
      <c r="A115" s="20"/>
      <c r="B115" s="20"/>
      <c r="C115" s="20"/>
      <c r="D115" s="20"/>
      <c r="E115" s="20"/>
      <c r="F115" s="20"/>
      <c r="G115" s="20"/>
      <c r="H115" s="20"/>
      <c r="I115" s="20"/>
      <c r="J115" s="20"/>
      <c r="K115" s="20"/>
      <c r="L115" s="20"/>
      <c r="M115" s="20"/>
      <c r="N115" s="20"/>
      <c r="O115" s="20"/>
    </row>
    <row r="116" spans="1:15" x14ac:dyDescent="0.25">
      <c r="A116" s="20"/>
      <c r="B116" s="20"/>
      <c r="C116" s="20"/>
      <c r="D116" s="20"/>
      <c r="E116" s="20"/>
      <c r="F116" s="20"/>
      <c r="G116" s="20"/>
      <c r="H116" s="20"/>
      <c r="I116" s="20"/>
      <c r="J116" s="20"/>
      <c r="K116" s="20"/>
      <c r="L116" s="20"/>
      <c r="M116" s="20"/>
      <c r="N116" s="20"/>
      <c r="O116" s="20"/>
    </row>
    <row r="117" spans="1:15" x14ac:dyDescent="0.25">
      <c r="A117" s="20"/>
      <c r="B117" s="20"/>
      <c r="C117" s="20"/>
      <c r="D117" s="20"/>
      <c r="E117" s="20"/>
      <c r="F117" s="20"/>
      <c r="G117" s="20"/>
      <c r="H117" s="20"/>
      <c r="I117" s="20"/>
      <c r="J117" s="20"/>
      <c r="K117" s="20"/>
      <c r="L117" s="20"/>
      <c r="M117" s="20"/>
      <c r="N117" s="20"/>
      <c r="O117" s="20"/>
    </row>
    <row r="118" spans="1:15" x14ac:dyDescent="0.25">
      <c r="A118" s="20"/>
      <c r="B118" s="20"/>
      <c r="C118" s="20"/>
      <c r="D118" s="20"/>
      <c r="E118" s="20"/>
      <c r="F118" s="20"/>
      <c r="G118" s="20"/>
      <c r="H118" s="20"/>
      <c r="I118" s="20"/>
      <c r="J118" s="20"/>
      <c r="K118" s="20"/>
      <c r="L118" s="20"/>
      <c r="M118" s="20"/>
      <c r="N118" s="20"/>
      <c r="O118" s="20"/>
    </row>
    <row r="119" spans="1:15" x14ac:dyDescent="0.25">
      <c r="A119" s="20"/>
      <c r="B119" s="20"/>
      <c r="C119" s="20"/>
      <c r="D119" s="20"/>
      <c r="E119" s="20"/>
      <c r="F119" s="20"/>
      <c r="G119" s="20"/>
      <c r="H119" s="20"/>
      <c r="I119" s="20"/>
      <c r="J119" s="20"/>
      <c r="K119" s="20"/>
      <c r="L119" s="20"/>
      <c r="M119" s="20"/>
      <c r="N119" s="20"/>
      <c r="O119" s="20"/>
    </row>
    <row r="120" spans="1:15" x14ac:dyDescent="0.25">
      <c r="A120" s="20"/>
      <c r="B120" s="20"/>
      <c r="C120" s="20"/>
      <c r="D120" s="20"/>
      <c r="E120" s="20"/>
      <c r="F120" s="20"/>
      <c r="G120" s="20"/>
      <c r="H120" s="20"/>
      <c r="I120" s="20"/>
      <c r="J120" s="20"/>
      <c r="K120" s="20"/>
      <c r="L120" s="20"/>
      <c r="M120" s="20"/>
      <c r="N120" s="20"/>
      <c r="O120" s="20"/>
    </row>
    <row r="121" spans="1:15" x14ac:dyDescent="0.25">
      <c r="A121" s="20"/>
      <c r="B121" s="20"/>
      <c r="C121" s="20"/>
      <c r="D121" s="20"/>
      <c r="E121" s="20"/>
      <c r="F121" s="20"/>
      <c r="G121" s="20"/>
      <c r="H121" s="20"/>
      <c r="I121" s="20"/>
      <c r="J121" s="20"/>
      <c r="K121" s="20"/>
      <c r="L121" s="20"/>
      <c r="M121" s="20"/>
      <c r="N121" s="20"/>
      <c r="O121" s="20"/>
    </row>
    <row r="122" spans="1:15" x14ac:dyDescent="0.25">
      <c r="A122" s="20"/>
      <c r="B122" s="20"/>
      <c r="C122" s="20"/>
      <c r="D122" s="20"/>
      <c r="E122" s="20"/>
      <c r="F122" s="20"/>
      <c r="G122" s="20"/>
      <c r="H122" s="20"/>
      <c r="I122" s="20"/>
      <c r="J122" s="20"/>
      <c r="K122" s="20"/>
      <c r="L122" s="20"/>
      <c r="M122" s="20"/>
      <c r="N122" s="20"/>
      <c r="O122" s="20"/>
    </row>
    <row r="123" spans="1:15" x14ac:dyDescent="0.25">
      <c r="A123" s="20"/>
      <c r="B123" s="20"/>
      <c r="C123" s="20"/>
      <c r="D123" s="20"/>
      <c r="E123" s="20"/>
      <c r="F123" s="20"/>
      <c r="G123" s="20"/>
      <c r="H123" s="20"/>
      <c r="I123" s="20"/>
      <c r="J123" s="20"/>
      <c r="K123" s="20"/>
      <c r="L123" s="20"/>
      <c r="M123" s="20"/>
      <c r="N123" s="20"/>
      <c r="O123" s="20"/>
    </row>
    <row r="124" spans="1:15" x14ac:dyDescent="0.25">
      <c r="A124" s="20"/>
      <c r="B124" s="20"/>
      <c r="C124" s="20"/>
      <c r="D124" s="20"/>
      <c r="E124" s="20"/>
      <c r="F124" s="20"/>
      <c r="G124" s="20"/>
      <c r="H124" s="20"/>
      <c r="I124" s="20"/>
      <c r="J124" s="20"/>
      <c r="K124" s="20"/>
      <c r="L124" s="20"/>
      <c r="M124" s="20"/>
      <c r="N124" s="20"/>
      <c r="O124" s="20"/>
    </row>
    <row r="125" spans="1:15" x14ac:dyDescent="0.25">
      <c r="A125" s="20"/>
      <c r="B125" s="20"/>
      <c r="C125" s="20"/>
      <c r="D125" s="20"/>
      <c r="E125" s="20"/>
      <c r="F125" s="20"/>
      <c r="G125" s="20"/>
      <c r="H125" s="20"/>
      <c r="I125" s="20"/>
      <c r="J125" s="20"/>
      <c r="K125" s="20"/>
      <c r="L125" s="20"/>
      <c r="M125" s="20"/>
      <c r="N125" s="20"/>
      <c r="O125" s="20"/>
    </row>
    <row r="126" spans="1:15" x14ac:dyDescent="0.25">
      <c r="A126" s="20"/>
      <c r="B126" s="20"/>
      <c r="C126" s="20"/>
      <c r="D126" s="20"/>
      <c r="E126" s="20"/>
      <c r="F126" s="20"/>
      <c r="G126" s="20"/>
      <c r="H126" s="20"/>
      <c r="I126" s="20"/>
      <c r="J126" s="20"/>
      <c r="K126" s="20"/>
      <c r="L126" s="20"/>
      <c r="M126" s="20"/>
      <c r="N126" s="20"/>
      <c r="O126" s="20"/>
    </row>
    <row r="127" spans="1:15" x14ac:dyDescent="0.25">
      <c r="A127" s="20"/>
      <c r="B127" s="20"/>
      <c r="C127" s="20"/>
      <c r="D127" s="20"/>
      <c r="E127" s="20"/>
      <c r="F127" s="20"/>
      <c r="G127" s="20"/>
      <c r="H127" s="20"/>
      <c r="I127" s="20"/>
      <c r="J127" s="20"/>
      <c r="K127" s="20"/>
      <c r="L127" s="20"/>
      <c r="M127" s="20"/>
      <c r="N127" s="20"/>
      <c r="O127" s="20"/>
    </row>
    <row r="128" spans="1:15" x14ac:dyDescent="0.25">
      <c r="A128" s="20"/>
      <c r="B128" s="20"/>
      <c r="C128" s="20"/>
      <c r="D128" s="20"/>
      <c r="E128" s="20"/>
      <c r="F128" s="20"/>
      <c r="G128" s="20"/>
      <c r="H128" s="20"/>
      <c r="I128" s="20"/>
      <c r="J128" s="20"/>
      <c r="K128" s="20"/>
      <c r="L128" s="20"/>
      <c r="M128" s="20"/>
      <c r="N128" s="20"/>
      <c r="O128" s="20"/>
    </row>
    <row r="129" spans="1:15" x14ac:dyDescent="0.25">
      <c r="A129" s="20"/>
      <c r="B129" s="20"/>
      <c r="C129" s="20"/>
      <c r="D129" s="20"/>
      <c r="E129" s="20"/>
      <c r="F129" s="20"/>
      <c r="G129" s="20"/>
      <c r="H129" s="20"/>
      <c r="I129" s="20"/>
      <c r="J129" s="20"/>
      <c r="K129" s="20"/>
      <c r="L129" s="20"/>
      <c r="M129" s="20"/>
      <c r="N129" s="20"/>
      <c r="O129" s="20"/>
    </row>
    <row r="130" spans="1:15" x14ac:dyDescent="0.25">
      <c r="A130" s="20"/>
      <c r="B130" s="20"/>
      <c r="C130" s="20"/>
      <c r="D130" s="20"/>
      <c r="E130" s="20"/>
      <c r="F130" s="20"/>
      <c r="G130" s="20"/>
      <c r="H130" s="20"/>
      <c r="I130" s="20"/>
      <c r="J130" s="20"/>
      <c r="K130" s="20"/>
      <c r="L130" s="20"/>
      <c r="M130" s="20"/>
      <c r="N130" s="20"/>
      <c r="O130" s="20"/>
    </row>
    <row r="131" spans="1:15" x14ac:dyDescent="0.25">
      <c r="A131" s="20"/>
      <c r="B131" s="20"/>
      <c r="C131" s="20"/>
      <c r="D131" s="20"/>
      <c r="E131" s="20"/>
      <c r="F131" s="20"/>
      <c r="G131" s="20"/>
      <c r="H131" s="20"/>
      <c r="I131" s="20"/>
      <c r="J131" s="20"/>
      <c r="K131" s="20"/>
      <c r="L131" s="20"/>
      <c r="M131" s="20"/>
      <c r="N131" s="20"/>
      <c r="O131" s="20"/>
    </row>
    <row r="132" spans="1:15" x14ac:dyDescent="0.25">
      <c r="A132" s="20"/>
      <c r="B132" s="20"/>
      <c r="C132" s="20"/>
      <c r="D132" s="20"/>
      <c r="E132" s="20"/>
      <c r="F132" s="20"/>
      <c r="G132" s="20"/>
      <c r="H132" s="20"/>
      <c r="I132" s="20"/>
      <c r="J132" s="20"/>
      <c r="K132" s="20"/>
      <c r="L132" s="20"/>
      <c r="M132" s="20"/>
      <c r="N132" s="20"/>
      <c r="O132" s="20"/>
    </row>
    <row r="133" spans="1:15" x14ac:dyDescent="0.25">
      <c r="A133" s="20"/>
      <c r="B133" s="20"/>
      <c r="C133" s="20"/>
      <c r="D133" s="20"/>
      <c r="E133" s="20"/>
      <c r="F133" s="20"/>
      <c r="G133" s="20"/>
      <c r="H133" s="20"/>
      <c r="I133" s="20"/>
      <c r="J133" s="20"/>
      <c r="K133" s="20"/>
      <c r="L133" s="20"/>
      <c r="M133" s="20"/>
      <c r="N133" s="20"/>
      <c r="O133" s="20"/>
    </row>
    <row r="134" spans="1:15" x14ac:dyDescent="0.25">
      <c r="A134" s="20"/>
      <c r="B134" s="20"/>
      <c r="C134" s="20"/>
      <c r="D134" s="20"/>
      <c r="E134" s="20"/>
      <c r="F134" s="20"/>
      <c r="G134" s="20"/>
      <c r="H134" s="20"/>
      <c r="I134" s="20"/>
      <c r="J134" s="20"/>
      <c r="K134" s="20"/>
      <c r="L134" s="20"/>
      <c r="M134" s="20"/>
      <c r="N134" s="20"/>
      <c r="O134" s="20"/>
    </row>
    <row r="135" spans="1:15" x14ac:dyDescent="0.25">
      <c r="A135" s="20"/>
      <c r="B135" s="20"/>
      <c r="C135" s="20"/>
      <c r="D135" s="20"/>
      <c r="E135" s="20"/>
      <c r="F135" s="20"/>
      <c r="G135" s="20"/>
      <c r="H135" s="20"/>
      <c r="I135" s="20"/>
      <c r="J135" s="20"/>
      <c r="K135" s="20"/>
      <c r="L135" s="20"/>
      <c r="M135" s="20"/>
      <c r="N135" s="20"/>
      <c r="O135" s="20"/>
    </row>
    <row r="136" spans="1:15" x14ac:dyDescent="0.25">
      <c r="A136" s="20"/>
      <c r="B136" s="20"/>
      <c r="C136" s="20"/>
      <c r="D136" s="20"/>
      <c r="E136" s="20"/>
      <c r="F136" s="20"/>
      <c r="G136" s="20"/>
      <c r="H136" s="20"/>
      <c r="I136" s="20"/>
      <c r="J136" s="20"/>
      <c r="K136" s="20"/>
      <c r="L136" s="20"/>
      <c r="M136" s="20"/>
      <c r="N136" s="20"/>
      <c r="O136" s="20"/>
    </row>
    <row r="137" spans="1:15" x14ac:dyDescent="0.25">
      <c r="A137" s="20"/>
      <c r="B137" s="20"/>
      <c r="C137" s="20"/>
      <c r="D137" s="20"/>
      <c r="E137" s="20"/>
      <c r="F137" s="20"/>
      <c r="G137" s="20"/>
      <c r="H137" s="20"/>
      <c r="I137" s="20"/>
      <c r="J137" s="20"/>
      <c r="K137" s="20"/>
      <c r="L137" s="20"/>
      <c r="M137" s="20"/>
      <c r="N137" s="20"/>
      <c r="O137" s="20"/>
    </row>
    <row r="138" spans="1:15" x14ac:dyDescent="0.25">
      <c r="A138" s="20"/>
      <c r="B138" s="20"/>
      <c r="C138" s="20"/>
      <c r="D138" s="20"/>
      <c r="E138" s="20"/>
      <c r="F138" s="20"/>
      <c r="G138" s="20"/>
      <c r="H138" s="20"/>
      <c r="I138" s="20"/>
      <c r="J138" s="20"/>
      <c r="K138" s="20"/>
      <c r="L138" s="20"/>
      <c r="M138" s="20"/>
      <c r="N138" s="20"/>
      <c r="O138" s="20"/>
    </row>
    <row r="139" spans="1:15" x14ac:dyDescent="0.25">
      <c r="A139" s="20"/>
      <c r="B139" s="20"/>
      <c r="C139" s="20"/>
      <c r="D139" s="20"/>
      <c r="E139" s="20"/>
      <c r="F139" s="20"/>
      <c r="G139" s="20"/>
      <c r="H139" s="20"/>
      <c r="I139" s="20"/>
      <c r="J139" s="20"/>
      <c r="K139" s="20"/>
      <c r="L139" s="20"/>
      <c r="M139" s="20"/>
      <c r="N139" s="20"/>
      <c r="O139" s="20"/>
    </row>
    <row r="140" spans="1:15" x14ac:dyDescent="0.25">
      <c r="A140" s="20"/>
      <c r="B140" s="20"/>
      <c r="C140" s="20"/>
      <c r="D140" s="20"/>
      <c r="E140" s="20"/>
      <c r="F140" s="20"/>
      <c r="G140" s="20"/>
      <c r="H140" s="20"/>
      <c r="I140" s="20"/>
      <c r="J140" s="20"/>
      <c r="K140" s="20"/>
      <c r="L140" s="20"/>
      <c r="M140" s="20"/>
      <c r="N140" s="20"/>
      <c r="O140" s="20"/>
    </row>
    <row r="141" spans="1:15" x14ac:dyDescent="0.25">
      <c r="A141" s="20"/>
      <c r="B141" s="20"/>
      <c r="C141" s="20"/>
      <c r="D141" s="20"/>
      <c r="E141" s="20"/>
      <c r="F141" s="20"/>
      <c r="G141" s="20"/>
      <c r="H141" s="20"/>
      <c r="I141" s="20"/>
      <c r="J141" s="20"/>
      <c r="K141" s="20"/>
      <c r="L141" s="20"/>
      <c r="M141" s="20"/>
      <c r="N141" s="20"/>
      <c r="O141" s="20"/>
    </row>
    <row r="142" spans="1:15" x14ac:dyDescent="0.25">
      <c r="A142" s="20"/>
      <c r="B142" s="20"/>
      <c r="C142" s="20"/>
      <c r="D142" s="20"/>
      <c r="E142" s="20"/>
      <c r="F142" s="20"/>
      <c r="G142" s="20"/>
      <c r="H142" s="20"/>
      <c r="I142" s="20"/>
      <c r="J142" s="20"/>
      <c r="K142" s="20"/>
      <c r="L142" s="20"/>
      <c r="M142" s="20"/>
      <c r="N142" s="20"/>
      <c r="O142" s="20"/>
    </row>
    <row r="143" spans="1:15" x14ac:dyDescent="0.25">
      <c r="A143" s="20"/>
      <c r="B143" s="20"/>
      <c r="C143" s="20"/>
      <c r="D143" s="20"/>
      <c r="E143" s="20"/>
      <c r="F143" s="20"/>
      <c r="G143" s="20"/>
      <c r="H143" s="20"/>
      <c r="I143" s="20"/>
      <c r="J143" s="20"/>
      <c r="K143" s="20"/>
      <c r="L143" s="20"/>
      <c r="M143" s="20"/>
      <c r="N143" s="20"/>
      <c r="O143" s="20"/>
    </row>
    <row r="144" spans="1:15" x14ac:dyDescent="0.25">
      <c r="A144" s="20"/>
      <c r="B144" s="20"/>
      <c r="C144" s="20"/>
      <c r="D144" s="20"/>
      <c r="E144" s="20"/>
      <c r="F144" s="20"/>
      <c r="G144" s="20"/>
      <c r="H144" s="20"/>
      <c r="I144" s="20"/>
      <c r="J144" s="20"/>
      <c r="K144" s="20"/>
      <c r="L144" s="20"/>
      <c r="M144" s="20"/>
      <c r="N144" s="20"/>
      <c r="O144" s="20"/>
    </row>
    <row r="145" spans="1:15" x14ac:dyDescent="0.25">
      <c r="A145" s="20"/>
      <c r="B145" s="20"/>
      <c r="C145" s="20"/>
      <c r="D145" s="20"/>
      <c r="E145" s="20"/>
      <c r="F145" s="20"/>
      <c r="G145" s="20"/>
      <c r="H145" s="20"/>
      <c r="I145" s="20"/>
      <c r="J145" s="20"/>
      <c r="K145" s="20"/>
      <c r="L145" s="20"/>
      <c r="M145" s="20"/>
      <c r="N145" s="20"/>
      <c r="O145" s="20"/>
    </row>
    <row r="146" spans="1:15" x14ac:dyDescent="0.25">
      <c r="A146" s="20"/>
      <c r="B146" s="20"/>
      <c r="C146" s="20"/>
      <c r="D146" s="20"/>
      <c r="E146" s="20"/>
      <c r="F146" s="20"/>
      <c r="G146" s="20"/>
      <c r="H146" s="20"/>
      <c r="I146" s="20"/>
      <c r="J146" s="20"/>
      <c r="K146" s="20"/>
      <c r="L146" s="20"/>
      <c r="M146" s="20"/>
      <c r="N146" s="20"/>
      <c r="O146" s="20"/>
    </row>
    <row r="147" spans="1:15" x14ac:dyDescent="0.25">
      <c r="A147" s="20"/>
      <c r="B147" s="20"/>
      <c r="C147" s="20"/>
      <c r="D147" s="20"/>
      <c r="E147" s="20"/>
      <c r="F147" s="20"/>
      <c r="G147" s="20"/>
      <c r="H147" s="20"/>
      <c r="I147" s="20"/>
      <c r="J147" s="20"/>
      <c r="K147" s="20"/>
      <c r="L147" s="20"/>
      <c r="M147" s="20"/>
      <c r="N147" s="20"/>
      <c r="O147" s="20"/>
    </row>
    <row r="148" spans="1:15" x14ac:dyDescent="0.25">
      <c r="A148" s="20"/>
      <c r="B148" s="20"/>
      <c r="C148" s="20"/>
      <c r="D148" s="20"/>
      <c r="E148" s="20"/>
      <c r="F148" s="20"/>
      <c r="G148" s="20"/>
      <c r="H148" s="20"/>
      <c r="I148" s="20"/>
      <c r="J148" s="20"/>
      <c r="K148" s="20"/>
      <c r="L148" s="20"/>
      <c r="M148" s="20"/>
      <c r="N148" s="20"/>
      <c r="O148" s="20"/>
    </row>
    <row r="149" spans="1:15" x14ac:dyDescent="0.25">
      <c r="A149" s="20"/>
      <c r="B149" s="20"/>
      <c r="C149" s="20"/>
      <c r="D149" s="20"/>
      <c r="E149" s="20"/>
      <c r="F149" s="20"/>
      <c r="G149" s="20"/>
      <c r="H149" s="20"/>
      <c r="I149" s="20"/>
      <c r="J149" s="20"/>
      <c r="K149" s="20"/>
      <c r="L149" s="20"/>
      <c r="M149" s="20"/>
      <c r="N149" s="20"/>
      <c r="O149" s="20"/>
    </row>
    <row r="150" spans="1:15" x14ac:dyDescent="0.25">
      <c r="A150" s="20"/>
      <c r="B150" s="20"/>
      <c r="C150" s="20"/>
      <c r="D150" s="20"/>
      <c r="E150" s="20"/>
      <c r="F150" s="20"/>
      <c r="G150" s="20"/>
      <c r="H150" s="20"/>
      <c r="I150" s="20"/>
      <c r="J150" s="20"/>
      <c r="K150" s="20"/>
      <c r="L150" s="20"/>
      <c r="M150" s="20"/>
      <c r="N150" s="20"/>
      <c r="O150" s="20"/>
    </row>
    <row r="151" spans="1:15" x14ac:dyDescent="0.25">
      <c r="A151" s="20"/>
      <c r="B151" s="20"/>
      <c r="C151" s="20"/>
      <c r="D151" s="20"/>
      <c r="E151" s="20"/>
      <c r="F151" s="20"/>
      <c r="G151" s="20"/>
      <c r="H151" s="20"/>
      <c r="I151" s="20"/>
      <c r="J151" s="20"/>
      <c r="K151" s="20"/>
      <c r="L151" s="20"/>
      <c r="M151" s="20"/>
      <c r="N151" s="20"/>
      <c r="O151" s="20"/>
    </row>
    <row r="152" spans="1:15" x14ac:dyDescent="0.25">
      <c r="A152" s="20"/>
      <c r="B152" s="20"/>
      <c r="C152" s="20"/>
      <c r="D152" s="20"/>
      <c r="E152" s="20"/>
      <c r="F152" s="20"/>
      <c r="G152" s="20"/>
      <c r="H152" s="20"/>
      <c r="I152" s="20"/>
      <c r="J152" s="20"/>
      <c r="K152" s="20"/>
      <c r="L152" s="20"/>
      <c r="M152" s="20"/>
      <c r="N152" s="20"/>
      <c r="O152" s="20"/>
    </row>
    <row r="153" spans="1:15" x14ac:dyDescent="0.25">
      <c r="A153" s="20"/>
      <c r="B153" s="20"/>
      <c r="C153" s="20"/>
      <c r="D153" s="20"/>
      <c r="E153" s="20"/>
      <c r="F153" s="20"/>
      <c r="G153" s="20"/>
      <c r="H153" s="20"/>
      <c r="I153" s="20"/>
      <c r="J153" s="20"/>
      <c r="K153" s="20"/>
      <c r="L153" s="20"/>
      <c r="M153" s="20"/>
      <c r="N153" s="20"/>
      <c r="O153" s="20"/>
    </row>
    <row r="154" spans="1:15" x14ac:dyDescent="0.25">
      <c r="A154" s="20"/>
      <c r="B154" s="20"/>
      <c r="C154" s="20"/>
      <c r="D154" s="20"/>
      <c r="E154" s="20"/>
      <c r="F154" s="20"/>
      <c r="G154" s="20"/>
      <c r="H154" s="20"/>
      <c r="I154" s="20"/>
      <c r="J154" s="20"/>
      <c r="K154" s="20"/>
      <c r="L154" s="20"/>
      <c r="M154" s="20"/>
      <c r="N154" s="20"/>
      <c r="O154" s="20"/>
    </row>
    <row r="155" spans="1:15" x14ac:dyDescent="0.25">
      <c r="A155" s="20"/>
      <c r="B155" s="20"/>
      <c r="C155" s="20"/>
      <c r="D155" s="20"/>
      <c r="E155" s="20"/>
      <c r="F155" s="20"/>
      <c r="G155" s="20"/>
      <c r="H155" s="20"/>
      <c r="I155" s="20"/>
      <c r="J155" s="20"/>
      <c r="K155" s="20"/>
      <c r="L155" s="20"/>
      <c r="M155" s="20"/>
      <c r="N155" s="20"/>
      <c r="O155" s="20"/>
    </row>
    <row r="156" spans="1:15" x14ac:dyDescent="0.25">
      <c r="A156" s="20"/>
      <c r="B156" s="20"/>
      <c r="C156" s="20"/>
      <c r="D156" s="20"/>
      <c r="E156" s="20"/>
      <c r="F156" s="20"/>
      <c r="G156" s="20"/>
      <c r="H156" s="20"/>
      <c r="I156" s="20"/>
      <c r="J156" s="20"/>
      <c r="K156" s="20"/>
      <c r="L156" s="20"/>
      <c r="M156" s="20"/>
      <c r="N156" s="20"/>
      <c r="O156" s="20"/>
    </row>
    <row r="157" spans="1:15" x14ac:dyDescent="0.25">
      <c r="A157" s="20"/>
      <c r="B157" s="20"/>
      <c r="C157" s="20"/>
      <c r="D157" s="20"/>
      <c r="E157" s="20"/>
      <c r="F157" s="20"/>
      <c r="G157" s="20"/>
      <c r="H157" s="20"/>
      <c r="I157" s="20"/>
      <c r="J157" s="20"/>
      <c r="K157" s="20"/>
      <c r="L157" s="20"/>
      <c r="M157" s="20"/>
      <c r="N157" s="20"/>
      <c r="O157" s="20"/>
    </row>
    <row r="158" spans="1:15" x14ac:dyDescent="0.25">
      <c r="A158" s="20"/>
      <c r="B158" s="20"/>
      <c r="C158" s="20"/>
      <c r="D158" s="20"/>
      <c r="E158" s="20"/>
      <c r="F158" s="20"/>
      <c r="G158" s="20"/>
      <c r="H158" s="20"/>
      <c r="I158" s="20"/>
      <c r="J158" s="20"/>
      <c r="K158" s="20"/>
      <c r="L158" s="20"/>
      <c r="M158" s="20"/>
      <c r="N158" s="20"/>
      <c r="O158" s="20"/>
    </row>
    <row r="159" spans="1:15" x14ac:dyDescent="0.25">
      <c r="A159" s="20"/>
      <c r="B159" s="20"/>
      <c r="C159" s="20"/>
      <c r="D159" s="20"/>
      <c r="E159" s="20"/>
      <c r="F159" s="20"/>
      <c r="G159" s="20"/>
      <c r="H159" s="20"/>
      <c r="I159" s="20"/>
      <c r="J159" s="20"/>
      <c r="K159" s="20"/>
      <c r="L159" s="20"/>
      <c r="M159" s="20"/>
      <c r="N159" s="20"/>
      <c r="O159" s="20"/>
    </row>
    <row r="160" spans="1:15" x14ac:dyDescent="0.25">
      <c r="A160" s="20"/>
      <c r="B160" s="20"/>
      <c r="C160" s="20"/>
      <c r="D160" s="20"/>
      <c r="E160" s="20"/>
      <c r="F160" s="20"/>
      <c r="G160" s="20"/>
      <c r="H160" s="20"/>
      <c r="I160" s="20"/>
      <c r="J160" s="20"/>
      <c r="K160" s="20"/>
      <c r="L160" s="20"/>
      <c r="M160" s="20"/>
      <c r="N160" s="20"/>
      <c r="O160" s="20"/>
    </row>
    <row r="161" spans="1:15" x14ac:dyDescent="0.25">
      <c r="A161" s="20"/>
      <c r="B161" s="20"/>
      <c r="C161" s="20"/>
      <c r="D161" s="20"/>
      <c r="E161" s="20"/>
      <c r="F161" s="20"/>
      <c r="G161" s="20"/>
      <c r="H161" s="20"/>
      <c r="I161" s="20"/>
      <c r="J161" s="20"/>
      <c r="K161" s="20"/>
      <c r="L161" s="20"/>
      <c r="M161" s="20"/>
      <c r="N161" s="20"/>
      <c r="O161" s="20"/>
    </row>
    <row r="162" spans="1:15" x14ac:dyDescent="0.25">
      <c r="A162" s="20"/>
      <c r="B162" s="20"/>
      <c r="C162" s="20"/>
      <c r="D162" s="20"/>
      <c r="E162" s="20"/>
      <c r="F162" s="20"/>
      <c r="G162" s="20"/>
      <c r="H162" s="20"/>
      <c r="I162" s="20"/>
      <c r="J162" s="20"/>
      <c r="K162" s="20"/>
      <c r="L162" s="20"/>
      <c r="M162" s="20"/>
      <c r="N162" s="20"/>
      <c r="O162" s="20"/>
    </row>
    <row r="163" spans="1:15" x14ac:dyDescent="0.25">
      <c r="A163" s="20"/>
      <c r="B163" s="20"/>
      <c r="C163" s="20"/>
      <c r="D163" s="20"/>
      <c r="E163" s="20"/>
      <c r="F163" s="20"/>
      <c r="G163" s="20"/>
      <c r="H163" s="20"/>
      <c r="I163" s="20"/>
      <c r="J163" s="20"/>
      <c r="K163" s="20"/>
      <c r="L163" s="20"/>
      <c r="M163" s="20"/>
      <c r="N163" s="20"/>
      <c r="O163" s="20"/>
    </row>
    <row r="164" spans="1:15" x14ac:dyDescent="0.25">
      <c r="A164" s="20"/>
      <c r="B164" s="20"/>
      <c r="C164" s="20"/>
      <c r="D164" s="20"/>
      <c r="E164" s="20"/>
      <c r="F164" s="20"/>
      <c r="G164" s="20"/>
      <c r="H164" s="20"/>
      <c r="I164" s="20"/>
      <c r="J164" s="20"/>
      <c r="K164" s="20"/>
      <c r="L164" s="20"/>
      <c r="M164" s="20"/>
      <c r="N164" s="20"/>
      <c r="O164" s="20"/>
    </row>
    <row r="165" spans="1:15" x14ac:dyDescent="0.25">
      <c r="A165" s="20"/>
      <c r="B165" s="20"/>
      <c r="C165" s="20"/>
      <c r="D165" s="20"/>
      <c r="E165" s="20"/>
      <c r="F165" s="20"/>
      <c r="G165" s="20"/>
      <c r="H165" s="20"/>
      <c r="I165" s="20"/>
      <c r="J165" s="20"/>
      <c r="K165" s="20"/>
      <c r="L165" s="20"/>
      <c r="M165" s="20"/>
      <c r="N165" s="20"/>
      <c r="O165" s="20"/>
    </row>
    <row r="166" spans="1:15" x14ac:dyDescent="0.25">
      <c r="A166" s="20"/>
      <c r="B166" s="20"/>
      <c r="C166" s="20"/>
      <c r="D166" s="20"/>
      <c r="E166" s="20"/>
      <c r="F166" s="20"/>
      <c r="G166" s="20"/>
      <c r="H166" s="20"/>
      <c r="I166" s="20"/>
      <c r="J166" s="20"/>
      <c r="K166" s="20"/>
      <c r="L166" s="20"/>
      <c r="M166" s="20"/>
      <c r="N166" s="20"/>
      <c r="O166" s="20"/>
    </row>
    <row r="167" spans="1:15" x14ac:dyDescent="0.25">
      <c r="A167" s="20"/>
      <c r="B167" s="20"/>
      <c r="C167" s="20"/>
      <c r="D167" s="20"/>
      <c r="E167" s="20"/>
      <c r="F167" s="20"/>
      <c r="G167" s="20"/>
      <c r="H167" s="20"/>
      <c r="I167" s="20"/>
      <c r="J167" s="20"/>
      <c r="K167" s="20"/>
      <c r="L167" s="20"/>
      <c r="M167" s="20"/>
      <c r="N167" s="20"/>
      <c r="O167" s="20"/>
    </row>
    <row r="168" spans="1:15" x14ac:dyDescent="0.25">
      <c r="A168" s="20"/>
      <c r="B168" s="20"/>
      <c r="C168" s="20"/>
      <c r="D168" s="20"/>
      <c r="E168" s="20"/>
      <c r="F168" s="20"/>
      <c r="G168" s="20"/>
      <c r="H168" s="20"/>
      <c r="I168" s="20"/>
      <c r="J168" s="20"/>
      <c r="K168" s="20"/>
      <c r="L168" s="20"/>
      <c r="M168" s="20"/>
      <c r="N168" s="20"/>
      <c r="O168" s="20"/>
    </row>
    <row r="169" spans="1:15" x14ac:dyDescent="0.25">
      <c r="A169" s="20"/>
      <c r="B169" s="20"/>
      <c r="C169" s="20"/>
      <c r="D169" s="20"/>
      <c r="E169" s="20"/>
      <c r="F169" s="20"/>
      <c r="G169" s="20"/>
      <c r="H169" s="20"/>
      <c r="I169" s="20"/>
      <c r="J169" s="20"/>
      <c r="K169" s="20"/>
      <c r="L169" s="20"/>
      <c r="M169" s="20"/>
      <c r="N169" s="20"/>
      <c r="O169" s="20"/>
    </row>
    <row r="170" spans="1:15" x14ac:dyDescent="0.25">
      <c r="A170" s="20"/>
      <c r="B170" s="20"/>
      <c r="C170" s="20"/>
      <c r="D170" s="20"/>
      <c r="E170" s="20"/>
      <c r="F170" s="20"/>
      <c r="G170" s="20"/>
      <c r="H170" s="20"/>
      <c r="I170" s="20"/>
      <c r="J170" s="20"/>
      <c r="K170" s="20"/>
      <c r="L170" s="20"/>
      <c r="M170" s="20"/>
      <c r="N170" s="20"/>
      <c r="O170" s="20"/>
    </row>
    <row r="171" spans="1:15" x14ac:dyDescent="0.25">
      <c r="A171" s="20"/>
      <c r="B171" s="20"/>
      <c r="C171" s="20"/>
      <c r="D171" s="20"/>
      <c r="E171" s="20"/>
      <c r="F171" s="20"/>
      <c r="G171" s="20"/>
      <c r="H171" s="20"/>
      <c r="I171" s="20"/>
      <c r="J171" s="20"/>
      <c r="K171" s="20"/>
      <c r="L171" s="20"/>
      <c r="M171" s="20"/>
      <c r="N171" s="20"/>
      <c r="O171" s="20"/>
    </row>
    <row r="172" spans="1:15" x14ac:dyDescent="0.25">
      <c r="A172" s="20"/>
      <c r="B172" s="20"/>
      <c r="C172" s="20"/>
      <c r="D172" s="20"/>
      <c r="E172" s="20"/>
      <c r="F172" s="20"/>
      <c r="G172" s="20"/>
      <c r="H172" s="20"/>
      <c r="I172" s="20"/>
      <c r="J172" s="20"/>
      <c r="K172" s="20"/>
      <c r="L172" s="20"/>
      <c r="M172" s="20"/>
      <c r="N172" s="20"/>
      <c r="O172" s="20"/>
    </row>
    <row r="173" spans="1:15" x14ac:dyDescent="0.25">
      <c r="A173" s="20"/>
      <c r="B173" s="20"/>
      <c r="C173" s="20"/>
      <c r="D173" s="20"/>
      <c r="E173" s="20"/>
      <c r="F173" s="20"/>
      <c r="G173" s="20"/>
      <c r="H173" s="20"/>
      <c r="I173" s="20"/>
      <c r="J173" s="20"/>
      <c r="K173" s="20"/>
      <c r="L173" s="20"/>
      <c r="M173" s="20"/>
      <c r="N173" s="20"/>
      <c r="O173" s="20"/>
    </row>
    <row r="174" spans="1:15" x14ac:dyDescent="0.25">
      <c r="A174" s="20"/>
      <c r="B174" s="20"/>
      <c r="C174" s="20"/>
      <c r="D174" s="20"/>
      <c r="E174" s="20"/>
      <c r="F174" s="20"/>
      <c r="G174" s="20"/>
      <c r="H174" s="20"/>
      <c r="I174" s="20"/>
      <c r="J174" s="20"/>
      <c r="K174" s="20"/>
      <c r="L174" s="20"/>
      <c r="M174" s="20"/>
      <c r="N174" s="20"/>
      <c r="O174" s="20"/>
    </row>
    <row r="175" spans="1:15" x14ac:dyDescent="0.25">
      <c r="A175" s="20"/>
      <c r="B175" s="20"/>
      <c r="C175" s="20"/>
      <c r="D175" s="20"/>
      <c r="E175" s="20"/>
      <c r="F175" s="20"/>
      <c r="G175" s="20"/>
      <c r="H175" s="20"/>
      <c r="I175" s="20"/>
      <c r="J175" s="20"/>
      <c r="K175" s="20"/>
      <c r="L175" s="20"/>
      <c r="M175" s="20"/>
      <c r="N175" s="20"/>
      <c r="O175" s="20"/>
    </row>
    <row r="176" spans="1:15" x14ac:dyDescent="0.25">
      <c r="A176" s="20"/>
      <c r="B176" s="20"/>
      <c r="C176" s="20"/>
      <c r="D176" s="20"/>
      <c r="E176" s="20"/>
      <c r="F176" s="20"/>
      <c r="G176" s="20"/>
      <c r="H176" s="20"/>
      <c r="I176" s="20"/>
      <c r="J176" s="20"/>
      <c r="K176" s="20"/>
      <c r="L176" s="20"/>
      <c r="M176" s="20"/>
      <c r="N176" s="20"/>
      <c r="O176" s="20"/>
    </row>
    <row r="177" spans="1:15" x14ac:dyDescent="0.25">
      <c r="A177" s="20"/>
      <c r="B177" s="20"/>
      <c r="C177" s="20"/>
      <c r="D177" s="20"/>
      <c r="E177" s="20"/>
      <c r="F177" s="20"/>
      <c r="G177" s="20"/>
      <c r="H177" s="20"/>
      <c r="I177" s="20"/>
      <c r="J177" s="20"/>
      <c r="K177" s="20"/>
      <c r="L177" s="20"/>
      <c r="M177" s="20"/>
      <c r="N177" s="20"/>
      <c r="O177" s="20"/>
    </row>
    <row r="178" spans="1:15" x14ac:dyDescent="0.25">
      <c r="A178" s="20"/>
      <c r="B178" s="20"/>
      <c r="C178" s="20"/>
      <c r="D178" s="20"/>
      <c r="E178" s="20"/>
      <c r="F178" s="20"/>
      <c r="G178" s="20"/>
      <c r="H178" s="20"/>
      <c r="I178" s="20"/>
      <c r="J178" s="20"/>
      <c r="K178" s="20"/>
      <c r="L178" s="20"/>
      <c r="M178" s="20"/>
      <c r="N178" s="20"/>
      <c r="O178" s="20"/>
    </row>
    <row r="179" spans="1:15" x14ac:dyDescent="0.25">
      <c r="A179" s="20"/>
      <c r="B179" s="20"/>
      <c r="C179" s="20"/>
      <c r="D179" s="20"/>
      <c r="E179" s="20"/>
      <c r="F179" s="20"/>
      <c r="G179" s="20"/>
      <c r="H179" s="20"/>
      <c r="I179" s="20"/>
      <c r="J179" s="20"/>
      <c r="K179" s="20"/>
      <c r="L179" s="20"/>
      <c r="M179" s="20"/>
      <c r="N179" s="20"/>
      <c r="O179" s="20"/>
    </row>
    <row r="180" spans="1:15" x14ac:dyDescent="0.25">
      <c r="A180" s="20"/>
      <c r="B180" s="20"/>
      <c r="C180" s="20"/>
      <c r="D180" s="20"/>
      <c r="E180" s="20"/>
      <c r="F180" s="20"/>
      <c r="G180" s="20"/>
      <c r="H180" s="20"/>
      <c r="I180" s="20"/>
      <c r="J180" s="20"/>
      <c r="K180" s="20"/>
      <c r="L180" s="20"/>
      <c r="M180" s="20"/>
      <c r="N180" s="20"/>
      <c r="O180" s="20"/>
    </row>
    <row r="181" spans="1:15" x14ac:dyDescent="0.25">
      <c r="A181" s="20"/>
      <c r="B181" s="20"/>
      <c r="C181" s="20"/>
      <c r="D181" s="20"/>
      <c r="E181" s="20"/>
      <c r="F181" s="20"/>
      <c r="G181" s="20"/>
      <c r="H181" s="20"/>
      <c r="I181" s="20"/>
      <c r="J181" s="20"/>
      <c r="K181" s="20"/>
      <c r="L181" s="20"/>
      <c r="M181" s="20"/>
      <c r="N181" s="20"/>
      <c r="O181" s="20"/>
    </row>
    <row r="182" spans="1:15" x14ac:dyDescent="0.25">
      <c r="A182" s="20"/>
      <c r="B182" s="20"/>
      <c r="C182" s="20"/>
      <c r="D182" s="20"/>
      <c r="E182" s="20"/>
      <c r="F182" s="20"/>
      <c r="G182" s="20"/>
      <c r="H182" s="20"/>
      <c r="I182" s="20"/>
      <c r="J182" s="20"/>
      <c r="K182" s="20"/>
      <c r="L182" s="20"/>
      <c r="M182" s="20"/>
      <c r="N182" s="20"/>
      <c r="O182" s="20"/>
    </row>
    <row r="183" spans="1:15" x14ac:dyDescent="0.25">
      <c r="A183" s="20"/>
      <c r="B183" s="20"/>
      <c r="C183" s="20"/>
      <c r="D183" s="20"/>
      <c r="E183" s="20"/>
      <c r="F183" s="20"/>
      <c r="G183" s="20"/>
      <c r="H183" s="20"/>
      <c r="I183" s="20"/>
      <c r="J183" s="20"/>
      <c r="K183" s="20"/>
      <c r="L183" s="20"/>
      <c r="M183" s="20"/>
      <c r="N183" s="20"/>
      <c r="O183" s="20"/>
    </row>
    <row r="184" spans="1:15" x14ac:dyDescent="0.25">
      <c r="A184" s="20"/>
      <c r="B184" s="20"/>
      <c r="C184" s="20"/>
      <c r="D184" s="20"/>
      <c r="E184" s="20"/>
      <c r="F184" s="20"/>
      <c r="G184" s="20"/>
      <c r="H184" s="20"/>
      <c r="I184" s="20"/>
      <c r="J184" s="20"/>
      <c r="K184" s="20"/>
      <c r="L184" s="20"/>
      <c r="M184" s="20"/>
      <c r="N184" s="20"/>
      <c r="O184" s="20"/>
    </row>
    <row r="185" spans="1:15" x14ac:dyDescent="0.25">
      <c r="A185" s="20"/>
      <c r="B185" s="20"/>
      <c r="C185" s="20"/>
      <c r="D185" s="20"/>
      <c r="E185" s="20"/>
      <c r="F185" s="20"/>
      <c r="G185" s="20"/>
      <c r="H185" s="20"/>
      <c r="I185" s="20"/>
      <c r="J185" s="20"/>
      <c r="K185" s="20"/>
      <c r="L185" s="20"/>
      <c r="M185" s="20"/>
      <c r="N185" s="20"/>
      <c r="O185" s="20"/>
    </row>
    <row r="186" spans="1:15" x14ac:dyDescent="0.25">
      <c r="A186" s="20"/>
      <c r="B186" s="20"/>
      <c r="C186" s="20"/>
      <c r="D186" s="20"/>
      <c r="E186" s="20"/>
      <c r="F186" s="20"/>
      <c r="G186" s="20"/>
      <c r="H186" s="20"/>
      <c r="I186" s="20"/>
      <c r="J186" s="20"/>
      <c r="K186" s="20"/>
      <c r="L186" s="20"/>
      <c r="M186" s="20"/>
      <c r="N186" s="20"/>
      <c r="O186" s="20"/>
    </row>
    <row r="187" spans="1:15" x14ac:dyDescent="0.25">
      <c r="A187" s="20"/>
      <c r="B187" s="20"/>
      <c r="C187" s="20"/>
      <c r="D187" s="20"/>
      <c r="E187" s="20"/>
      <c r="F187" s="20"/>
      <c r="G187" s="20"/>
      <c r="H187" s="20"/>
      <c r="I187" s="20"/>
      <c r="J187" s="20"/>
      <c r="K187" s="20"/>
      <c r="L187" s="20"/>
      <c r="M187" s="20"/>
      <c r="N187" s="20"/>
      <c r="O187" s="20"/>
    </row>
    <row r="188" spans="1:15" x14ac:dyDescent="0.25">
      <c r="A188" s="20"/>
      <c r="B188" s="20"/>
      <c r="C188" s="20"/>
      <c r="D188" s="20"/>
      <c r="E188" s="20"/>
      <c r="F188" s="20"/>
      <c r="G188" s="20"/>
      <c r="H188" s="20"/>
      <c r="I188" s="20"/>
      <c r="J188" s="20"/>
      <c r="K188" s="20"/>
      <c r="L188" s="20"/>
      <c r="M188" s="20"/>
      <c r="N188" s="20"/>
      <c r="O188" s="20"/>
    </row>
    <row r="189" spans="1:15" x14ac:dyDescent="0.25">
      <c r="A189" s="20"/>
      <c r="B189" s="20"/>
      <c r="C189" s="20"/>
      <c r="D189" s="20"/>
      <c r="E189" s="20"/>
      <c r="F189" s="20"/>
      <c r="G189" s="20"/>
      <c r="H189" s="20"/>
      <c r="I189" s="20"/>
      <c r="J189" s="20"/>
      <c r="K189" s="20"/>
      <c r="L189" s="20"/>
      <c r="M189" s="20"/>
      <c r="N189" s="20"/>
      <c r="O189" s="20"/>
    </row>
    <row r="190" spans="1:15" x14ac:dyDescent="0.25">
      <c r="A190" s="20"/>
      <c r="B190" s="20"/>
      <c r="C190" s="20"/>
      <c r="D190" s="20"/>
      <c r="E190" s="20"/>
      <c r="F190" s="20"/>
      <c r="G190" s="20"/>
      <c r="H190" s="20"/>
      <c r="I190" s="20"/>
      <c r="J190" s="20"/>
      <c r="K190" s="20"/>
      <c r="L190" s="20"/>
      <c r="M190" s="20"/>
      <c r="N190" s="20"/>
      <c r="O190" s="20"/>
    </row>
    <row r="191" spans="1:15" x14ac:dyDescent="0.25">
      <c r="A191" s="20"/>
      <c r="B191" s="20"/>
      <c r="C191" s="20"/>
      <c r="D191" s="20"/>
      <c r="E191" s="20"/>
      <c r="F191" s="20"/>
      <c r="G191" s="20"/>
      <c r="H191" s="20"/>
      <c r="I191" s="20"/>
      <c r="J191" s="20"/>
      <c r="K191" s="20"/>
      <c r="L191" s="20"/>
      <c r="M191" s="20"/>
      <c r="N191" s="20"/>
      <c r="O191" s="20"/>
    </row>
    <row r="192" spans="1:15" x14ac:dyDescent="0.25">
      <c r="A192" s="20"/>
      <c r="B192" s="20"/>
      <c r="C192" s="20"/>
      <c r="D192" s="20"/>
      <c r="E192" s="20"/>
      <c r="F192" s="20"/>
      <c r="G192" s="20"/>
      <c r="H192" s="20"/>
      <c r="I192" s="20"/>
      <c r="J192" s="20"/>
      <c r="K192" s="20"/>
      <c r="L192" s="20"/>
      <c r="M192" s="20"/>
      <c r="N192" s="20"/>
      <c r="O192" s="20"/>
    </row>
    <row r="193" spans="1:15" x14ac:dyDescent="0.25">
      <c r="A193" s="20"/>
      <c r="B193" s="20"/>
      <c r="C193" s="20"/>
      <c r="D193" s="20"/>
      <c r="E193" s="20"/>
      <c r="F193" s="20"/>
      <c r="G193" s="20"/>
      <c r="H193" s="20"/>
      <c r="I193" s="20"/>
      <c r="J193" s="20"/>
      <c r="K193" s="20"/>
      <c r="L193" s="20"/>
      <c r="M193" s="20"/>
      <c r="N193" s="20"/>
      <c r="O193" s="20"/>
    </row>
    <row r="194" spans="1:15" x14ac:dyDescent="0.25">
      <c r="A194" s="20"/>
      <c r="B194" s="20"/>
      <c r="C194" s="20"/>
      <c r="D194" s="20"/>
      <c r="E194" s="20"/>
      <c r="F194" s="20"/>
      <c r="G194" s="20"/>
      <c r="H194" s="20"/>
      <c r="I194" s="20"/>
      <c r="J194" s="20"/>
      <c r="K194" s="20"/>
      <c r="L194" s="20"/>
      <c r="M194" s="20"/>
      <c r="N194" s="20"/>
      <c r="O194" s="20"/>
    </row>
    <row r="195" spans="1:15" x14ac:dyDescent="0.25">
      <c r="A195" s="20"/>
      <c r="B195" s="20"/>
      <c r="C195" s="20"/>
      <c r="D195" s="20"/>
      <c r="E195" s="20"/>
      <c r="F195" s="20"/>
      <c r="G195" s="20"/>
      <c r="H195" s="20"/>
      <c r="I195" s="20"/>
      <c r="J195" s="20"/>
      <c r="K195" s="20"/>
      <c r="L195" s="20"/>
      <c r="M195" s="20"/>
      <c r="N195" s="20"/>
      <c r="O195" s="20"/>
    </row>
    <row r="196" spans="1:15" x14ac:dyDescent="0.25">
      <c r="A196" s="20"/>
      <c r="B196" s="20"/>
      <c r="C196" s="20"/>
      <c r="D196" s="20"/>
      <c r="E196" s="20"/>
      <c r="F196" s="20"/>
      <c r="G196" s="20"/>
      <c r="H196" s="20"/>
      <c r="I196" s="20"/>
      <c r="J196" s="20"/>
      <c r="K196" s="20"/>
      <c r="L196" s="20"/>
      <c r="M196" s="20"/>
      <c r="N196" s="20"/>
      <c r="O196" s="20"/>
    </row>
    <row r="197" spans="1:15" x14ac:dyDescent="0.25">
      <c r="A197" s="20"/>
      <c r="B197" s="20"/>
      <c r="C197" s="20"/>
      <c r="D197" s="20"/>
      <c r="E197" s="20"/>
      <c r="F197" s="20"/>
      <c r="G197" s="20"/>
      <c r="H197" s="20"/>
      <c r="I197" s="20"/>
      <c r="J197" s="20"/>
      <c r="K197" s="20"/>
      <c r="L197" s="20"/>
      <c r="M197" s="20"/>
      <c r="N197" s="20"/>
      <c r="O197" s="20"/>
    </row>
    <row r="198" spans="1:15" x14ac:dyDescent="0.25">
      <c r="A198" s="20"/>
      <c r="B198" s="20"/>
      <c r="C198" s="20"/>
      <c r="D198" s="20"/>
      <c r="E198" s="20"/>
      <c r="F198" s="20"/>
      <c r="G198" s="20"/>
      <c r="H198" s="20"/>
      <c r="I198" s="20"/>
      <c r="J198" s="20"/>
      <c r="K198" s="20"/>
      <c r="L198" s="20"/>
      <c r="M198" s="20"/>
      <c r="N198" s="20"/>
      <c r="O198" s="20"/>
    </row>
    <row r="199" spans="1:15" x14ac:dyDescent="0.25">
      <c r="A199" s="20"/>
      <c r="B199" s="20"/>
      <c r="C199" s="20"/>
      <c r="D199" s="20"/>
      <c r="E199" s="20"/>
      <c r="F199" s="20"/>
      <c r="G199" s="20"/>
      <c r="H199" s="20"/>
      <c r="I199" s="20"/>
      <c r="J199" s="20"/>
      <c r="K199" s="20"/>
      <c r="L199" s="20"/>
      <c r="M199" s="20"/>
      <c r="N199" s="20"/>
      <c r="O199" s="20"/>
    </row>
    <row r="200" spans="1:15" x14ac:dyDescent="0.25">
      <c r="A200" s="20"/>
      <c r="B200" s="20"/>
      <c r="C200" s="20"/>
      <c r="D200" s="20"/>
      <c r="E200" s="20"/>
      <c r="F200" s="20"/>
      <c r="G200" s="20"/>
      <c r="H200" s="20"/>
      <c r="I200" s="20"/>
      <c r="J200" s="20"/>
      <c r="K200" s="20"/>
      <c r="L200" s="20"/>
      <c r="M200" s="20"/>
      <c r="N200" s="20"/>
      <c r="O200" s="20"/>
    </row>
    <row r="201" spans="1:15" x14ac:dyDescent="0.25">
      <c r="A201" s="20"/>
      <c r="B201" s="20"/>
      <c r="C201" s="20"/>
      <c r="D201" s="20"/>
      <c r="E201" s="20"/>
      <c r="F201" s="20"/>
      <c r="G201" s="20"/>
      <c r="H201" s="20"/>
      <c r="I201" s="20"/>
      <c r="J201" s="20"/>
      <c r="K201" s="20"/>
      <c r="L201" s="20"/>
      <c r="M201" s="20"/>
      <c r="N201" s="20"/>
      <c r="O201" s="20"/>
    </row>
    <row r="202" spans="1:15" x14ac:dyDescent="0.25">
      <c r="A202" s="20"/>
      <c r="B202" s="20"/>
      <c r="C202" s="20"/>
      <c r="D202" s="20"/>
      <c r="E202" s="20"/>
      <c r="F202" s="20"/>
      <c r="G202" s="20"/>
      <c r="H202" s="20"/>
      <c r="I202" s="20"/>
      <c r="J202" s="20"/>
      <c r="K202" s="20"/>
      <c r="L202" s="20"/>
      <c r="M202" s="20"/>
      <c r="N202" s="20"/>
      <c r="O202" s="20"/>
    </row>
    <row r="203" spans="1:15" x14ac:dyDescent="0.25">
      <c r="A203" s="20"/>
      <c r="B203" s="20"/>
      <c r="C203" s="20"/>
      <c r="D203" s="20"/>
      <c r="E203" s="20"/>
      <c r="F203" s="20"/>
      <c r="G203" s="20"/>
      <c r="H203" s="20"/>
      <c r="I203" s="20"/>
      <c r="J203" s="20"/>
      <c r="K203" s="20"/>
      <c r="L203" s="20"/>
      <c r="M203" s="20"/>
      <c r="N203" s="20"/>
      <c r="O203" s="20"/>
    </row>
    <row r="204" spans="1:15" x14ac:dyDescent="0.25">
      <c r="A204" s="20"/>
      <c r="B204" s="20"/>
      <c r="C204" s="20"/>
      <c r="D204" s="20"/>
      <c r="E204" s="20"/>
      <c r="F204" s="20"/>
      <c r="G204" s="20"/>
      <c r="H204" s="20"/>
      <c r="I204" s="20"/>
      <c r="J204" s="20"/>
      <c r="K204" s="20"/>
      <c r="L204" s="20"/>
      <c r="M204" s="20"/>
      <c r="N204" s="20"/>
      <c r="O204" s="20"/>
    </row>
    <row r="205" spans="1:15" x14ac:dyDescent="0.25">
      <c r="A205" s="20"/>
      <c r="B205" s="20"/>
      <c r="C205" s="20"/>
      <c r="D205" s="20"/>
      <c r="E205" s="20"/>
      <c r="F205" s="20"/>
      <c r="G205" s="20"/>
      <c r="H205" s="20"/>
      <c r="I205" s="20"/>
      <c r="J205" s="20"/>
      <c r="K205" s="20"/>
      <c r="L205" s="20"/>
      <c r="M205" s="20"/>
      <c r="N205" s="20"/>
      <c r="O205" s="20"/>
    </row>
    <row r="206" spans="1:15" x14ac:dyDescent="0.25">
      <c r="A206" s="20"/>
      <c r="B206" s="20"/>
      <c r="C206" s="20"/>
      <c r="D206" s="20"/>
      <c r="E206" s="20"/>
      <c r="F206" s="20"/>
      <c r="G206" s="20"/>
      <c r="H206" s="20"/>
      <c r="I206" s="20"/>
      <c r="J206" s="20"/>
      <c r="K206" s="20"/>
      <c r="L206" s="20"/>
      <c r="M206" s="20"/>
      <c r="N206" s="20"/>
      <c r="O206" s="20"/>
    </row>
    <row r="207" spans="1:15" x14ac:dyDescent="0.25">
      <c r="A207" s="20"/>
      <c r="B207" s="20"/>
      <c r="C207" s="20"/>
      <c r="D207" s="20"/>
      <c r="E207" s="20"/>
      <c r="F207" s="20"/>
      <c r="G207" s="20"/>
      <c r="H207" s="20"/>
      <c r="I207" s="20"/>
      <c r="J207" s="20"/>
      <c r="K207" s="20"/>
      <c r="L207" s="20"/>
      <c r="M207" s="20"/>
      <c r="N207" s="20"/>
      <c r="O207" s="20"/>
    </row>
    <row r="208" spans="1:15" x14ac:dyDescent="0.25">
      <c r="A208" s="20"/>
      <c r="B208" s="20"/>
      <c r="C208" s="20"/>
      <c r="D208" s="20"/>
      <c r="E208" s="20"/>
      <c r="F208" s="20"/>
      <c r="G208" s="20"/>
      <c r="H208" s="20"/>
      <c r="I208" s="20"/>
      <c r="J208" s="20"/>
      <c r="K208" s="20"/>
      <c r="L208" s="20"/>
      <c r="M208" s="20"/>
      <c r="N208" s="20"/>
      <c r="O208" s="20"/>
    </row>
    <row r="209" spans="1:15" x14ac:dyDescent="0.25">
      <c r="A209" s="20"/>
      <c r="B209" s="20"/>
      <c r="C209" s="20"/>
      <c r="D209" s="20"/>
      <c r="E209" s="20"/>
      <c r="F209" s="20"/>
      <c r="G209" s="20"/>
      <c r="H209" s="20"/>
      <c r="I209" s="20"/>
      <c r="J209" s="20"/>
      <c r="K209" s="20"/>
      <c r="L209" s="20"/>
      <c r="M209" s="20"/>
      <c r="N209" s="20"/>
      <c r="O209" s="20"/>
    </row>
    <row r="210" spans="1:15" x14ac:dyDescent="0.25">
      <c r="A210" s="20"/>
      <c r="B210" s="20"/>
      <c r="C210" s="20"/>
      <c r="D210" s="20"/>
      <c r="E210" s="20"/>
      <c r="F210" s="20"/>
      <c r="G210" s="20"/>
      <c r="H210" s="20"/>
      <c r="I210" s="20"/>
      <c r="J210" s="20"/>
      <c r="K210" s="20"/>
      <c r="L210" s="20"/>
      <c r="M210" s="20"/>
      <c r="N210" s="20"/>
      <c r="O210" s="20"/>
    </row>
    <row r="211" spans="1:15" x14ac:dyDescent="0.25">
      <c r="A211" s="20"/>
      <c r="B211" s="20"/>
      <c r="C211" s="20"/>
      <c r="D211" s="20"/>
      <c r="E211" s="20"/>
      <c r="F211" s="20"/>
      <c r="G211" s="20"/>
      <c r="H211" s="20"/>
      <c r="I211" s="20"/>
      <c r="J211" s="20"/>
      <c r="K211" s="20"/>
      <c r="L211" s="20"/>
      <c r="M211" s="20"/>
      <c r="N211" s="20"/>
      <c r="O211" s="20"/>
    </row>
    <row r="212" spans="1:15" x14ac:dyDescent="0.25">
      <c r="A212" s="20"/>
      <c r="B212" s="20"/>
      <c r="C212" s="20"/>
      <c r="D212" s="20"/>
      <c r="E212" s="20"/>
      <c r="F212" s="20"/>
      <c r="G212" s="20"/>
      <c r="H212" s="20"/>
      <c r="I212" s="20"/>
      <c r="J212" s="20"/>
      <c r="K212" s="20"/>
      <c r="L212" s="20"/>
      <c r="M212" s="20"/>
      <c r="N212" s="20"/>
      <c r="O212" s="20"/>
    </row>
    <row r="213" spans="1:15" x14ac:dyDescent="0.25">
      <c r="A213" s="20"/>
      <c r="B213" s="20"/>
      <c r="C213" s="20"/>
      <c r="D213" s="20"/>
      <c r="E213" s="20"/>
      <c r="F213" s="20"/>
      <c r="G213" s="20"/>
      <c r="H213" s="20"/>
      <c r="I213" s="20"/>
      <c r="J213" s="20"/>
      <c r="K213" s="20"/>
      <c r="L213" s="20"/>
      <c r="M213" s="20"/>
      <c r="N213" s="20"/>
      <c r="O213" s="20"/>
    </row>
    <row r="214" spans="1:15" x14ac:dyDescent="0.25">
      <c r="A214" s="20"/>
      <c r="B214" s="20"/>
      <c r="C214" s="20"/>
      <c r="D214" s="20"/>
      <c r="E214" s="20"/>
      <c r="F214" s="20"/>
      <c r="G214" s="20"/>
      <c r="H214" s="20"/>
      <c r="I214" s="20"/>
      <c r="J214" s="20"/>
      <c r="K214" s="20"/>
      <c r="L214" s="20"/>
      <c r="M214" s="20"/>
      <c r="N214" s="20"/>
      <c r="O214" s="20"/>
    </row>
    <row r="215" spans="1:15" x14ac:dyDescent="0.25">
      <c r="A215" s="20"/>
      <c r="B215" s="20"/>
      <c r="C215" s="20"/>
      <c r="D215" s="20"/>
      <c r="E215" s="20"/>
      <c r="F215" s="20"/>
      <c r="G215" s="20"/>
      <c r="H215" s="20"/>
      <c r="I215" s="20"/>
      <c r="J215" s="20"/>
      <c r="K215" s="20"/>
      <c r="L215" s="20"/>
      <c r="M215" s="20"/>
      <c r="N215" s="20"/>
      <c r="O215" s="20"/>
    </row>
    <row r="216" spans="1:15" x14ac:dyDescent="0.25">
      <c r="A216" s="20"/>
      <c r="B216" s="20"/>
      <c r="C216" s="20"/>
      <c r="D216" s="20"/>
      <c r="E216" s="20"/>
      <c r="F216" s="20"/>
      <c r="G216" s="20"/>
      <c r="H216" s="20"/>
      <c r="I216" s="20"/>
      <c r="J216" s="20"/>
      <c r="K216" s="20"/>
      <c r="L216" s="20"/>
      <c r="M216" s="20"/>
      <c r="N216" s="20"/>
      <c r="O216" s="20"/>
    </row>
    <row r="217" spans="1:15" x14ac:dyDescent="0.25">
      <c r="A217" s="20"/>
      <c r="B217" s="20"/>
      <c r="C217" s="20"/>
      <c r="D217" s="20"/>
      <c r="E217" s="20"/>
      <c r="F217" s="20"/>
      <c r="G217" s="20"/>
      <c r="H217" s="20"/>
      <c r="I217" s="20"/>
      <c r="J217" s="20"/>
      <c r="K217" s="20"/>
      <c r="L217" s="20"/>
      <c r="M217" s="20"/>
      <c r="N217" s="20"/>
      <c r="O217" s="20"/>
    </row>
    <row r="218" spans="1:15" x14ac:dyDescent="0.25">
      <c r="A218" s="20"/>
      <c r="B218" s="20"/>
      <c r="C218" s="20"/>
      <c r="D218" s="20"/>
      <c r="E218" s="20"/>
      <c r="F218" s="20"/>
      <c r="G218" s="20"/>
      <c r="H218" s="20"/>
      <c r="I218" s="20"/>
      <c r="J218" s="20"/>
      <c r="K218" s="20"/>
      <c r="L218" s="20"/>
      <c r="M218" s="20"/>
      <c r="N218" s="20"/>
      <c r="O218" s="20"/>
    </row>
    <row r="219" spans="1:15" x14ac:dyDescent="0.25">
      <c r="A219" s="20"/>
      <c r="B219" s="20"/>
      <c r="C219" s="20"/>
      <c r="D219" s="20"/>
      <c r="E219" s="20"/>
      <c r="F219" s="20"/>
      <c r="G219" s="20"/>
      <c r="H219" s="20"/>
      <c r="I219" s="20"/>
      <c r="J219" s="20"/>
      <c r="K219" s="20"/>
      <c r="L219" s="20"/>
      <c r="M219" s="20"/>
      <c r="N219" s="20"/>
      <c r="O219" s="20"/>
    </row>
    <row r="220" spans="1:15" x14ac:dyDescent="0.25">
      <c r="A220" s="20"/>
      <c r="B220" s="20"/>
      <c r="C220" s="20"/>
      <c r="D220" s="20"/>
      <c r="E220" s="20"/>
      <c r="F220" s="20"/>
      <c r="G220" s="20"/>
      <c r="H220" s="20"/>
      <c r="I220" s="20"/>
      <c r="J220" s="20"/>
      <c r="K220" s="20"/>
      <c r="L220" s="20"/>
      <c r="M220" s="20"/>
      <c r="N220" s="20"/>
      <c r="O220" s="20"/>
    </row>
    <row r="221" spans="1:15" x14ac:dyDescent="0.25">
      <c r="A221" s="20"/>
      <c r="B221" s="20"/>
      <c r="C221" s="20"/>
      <c r="D221" s="20"/>
      <c r="E221" s="20"/>
      <c r="F221" s="20"/>
      <c r="G221" s="20"/>
      <c r="H221" s="20"/>
      <c r="I221" s="20"/>
      <c r="J221" s="20"/>
      <c r="K221" s="20"/>
      <c r="L221" s="20"/>
      <c r="M221" s="20"/>
      <c r="N221" s="20"/>
      <c r="O221" s="20"/>
    </row>
    <row r="222" spans="1:15" x14ac:dyDescent="0.25">
      <c r="A222" s="20"/>
      <c r="B222" s="20"/>
      <c r="C222" s="20"/>
      <c r="D222" s="20"/>
      <c r="E222" s="20"/>
      <c r="F222" s="20"/>
      <c r="G222" s="20"/>
      <c r="H222" s="20"/>
      <c r="I222" s="20"/>
      <c r="J222" s="20"/>
      <c r="K222" s="20"/>
      <c r="L222" s="20"/>
      <c r="M222" s="20"/>
      <c r="N222" s="20"/>
      <c r="O222" s="20"/>
    </row>
    <row r="223" spans="1:15" x14ac:dyDescent="0.25">
      <c r="A223" s="20"/>
      <c r="B223" s="20"/>
      <c r="C223" s="20"/>
      <c r="D223" s="20"/>
      <c r="E223" s="20"/>
      <c r="F223" s="20"/>
      <c r="G223" s="20"/>
      <c r="H223" s="20"/>
      <c r="I223" s="20"/>
      <c r="J223" s="20"/>
      <c r="K223" s="20"/>
      <c r="L223" s="20"/>
      <c r="M223" s="20"/>
      <c r="N223" s="20"/>
      <c r="O223" s="20"/>
    </row>
    <row r="224" spans="1:15" x14ac:dyDescent="0.25">
      <c r="A224" s="20"/>
      <c r="B224" s="20"/>
      <c r="C224" s="20"/>
      <c r="D224" s="20"/>
      <c r="E224" s="20"/>
      <c r="F224" s="20"/>
      <c r="G224" s="20"/>
      <c r="H224" s="20"/>
      <c r="I224" s="20"/>
      <c r="J224" s="20"/>
      <c r="K224" s="20"/>
      <c r="L224" s="20"/>
      <c r="M224" s="20"/>
      <c r="N224" s="20"/>
      <c r="O224" s="20"/>
    </row>
    <row r="225" spans="1:15" x14ac:dyDescent="0.25">
      <c r="A225" s="20"/>
      <c r="B225" s="20"/>
      <c r="C225" s="20"/>
      <c r="D225" s="20"/>
      <c r="E225" s="20"/>
      <c r="F225" s="20"/>
      <c r="G225" s="20"/>
      <c r="H225" s="20"/>
      <c r="I225" s="20"/>
      <c r="J225" s="20"/>
      <c r="K225" s="20"/>
      <c r="L225" s="20"/>
      <c r="M225" s="20"/>
      <c r="N225" s="20"/>
      <c r="O225" s="20"/>
    </row>
    <row r="226" spans="1:15" x14ac:dyDescent="0.25">
      <c r="A226" s="20"/>
      <c r="B226" s="20"/>
      <c r="C226" s="20"/>
      <c r="D226" s="20"/>
      <c r="E226" s="20"/>
      <c r="F226" s="20"/>
      <c r="G226" s="20"/>
      <c r="H226" s="20"/>
      <c r="I226" s="20"/>
      <c r="J226" s="20"/>
      <c r="K226" s="20"/>
      <c r="L226" s="20"/>
      <c r="M226" s="20"/>
      <c r="N226" s="20"/>
      <c r="O226" s="20"/>
    </row>
    <row r="227" spans="1:15" x14ac:dyDescent="0.25">
      <c r="A227" s="20"/>
      <c r="B227" s="20"/>
      <c r="C227" s="20"/>
      <c r="D227" s="20"/>
      <c r="E227" s="20"/>
      <c r="F227" s="20"/>
      <c r="G227" s="20"/>
      <c r="H227" s="20"/>
      <c r="I227" s="20"/>
      <c r="J227" s="20"/>
      <c r="K227" s="20"/>
      <c r="L227" s="20"/>
      <c r="M227" s="20"/>
      <c r="N227" s="20"/>
      <c r="O227" s="20"/>
    </row>
    <row r="228" spans="1:15" x14ac:dyDescent="0.25">
      <c r="A228" s="20"/>
      <c r="B228" s="20"/>
      <c r="C228" s="20"/>
      <c r="D228" s="20"/>
      <c r="E228" s="20"/>
      <c r="F228" s="20"/>
      <c r="G228" s="20"/>
      <c r="H228" s="20"/>
      <c r="I228" s="20"/>
      <c r="J228" s="20"/>
      <c r="K228" s="20"/>
      <c r="L228" s="20"/>
      <c r="M228" s="20"/>
      <c r="N228" s="20"/>
      <c r="O228" s="20"/>
    </row>
    <row r="229" spans="1:15" x14ac:dyDescent="0.25">
      <c r="A229" s="20"/>
      <c r="B229" s="20"/>
      <c r="C229" s="20"/>
      <c r="D229" s="20"/>
      <c r="E229" s="20"/>
      <c r="F229" s="20"/>
      <c r="G229" s="20"/>
      <c r="H229" s="20"/>
      <c r="I229" s="20"/>
      <c r="J229" s="20"/>
      <c r="K229" s="20"/>
      <c r="L229" s="20"/>
      <c r="M229" s="20"/>
      <c r="N229" s="20"/>
      <c r="O229" s="20"/>
    </row>
    <row r="230" spans="1:15" x14ac:dyDescent="0.25">
      <c r="A230" s="20"/>
      <c r="B230" s="20"/>
      <c r="C230" s="20"/>
      <c r="D230" s="20"/>
      <c r="E230" s="20"/>
      <c r="F230" s="20"/>
      <c r="G230" s="20"/>
      <c r="H230" s="20"/>
      <c r="I230" s="20"/>
      <c r="J230" s="20"/>
      <c r="K230" s="20"/>
      <c r="L230" s="20"/>
      <c r="M230" s="20"/>
      <c r="N230" s="20"/>
      <c r="O230" s="20"/>
    </row>
    <row r="231" spans="1:15" x14ac:dyDescent="0.25">
      <c r="A231" s="20"/>
      <c r="B231" s="20"/>
      <c r="C231" s="20"/>
      <c r="D231" s="20"/>
      <c r="E231" s="20"/>
      <c r="F231" s="20"/>
      <c r="G231" s="20"/>
      <c r="H231" s="20"/>
      <c r="I231" s="20"/>
      <c r="J231" s="20"/>
      <c r="K231" s="20"/>
      <c r="L231" s="20"/>
      <c r="M231" s="20"/>
      <c r="N231" s="20"/>
      <c r="O231" s="20"/>
    </row>
    <row r="232" spans="1:15" x14ac:dyDescent="0.25">
      <c r="A232" s="20"/>
      <c r="B232" s="20"/>
      <c r="C232" s="20"/>
      <c r="D232" s="20"/>
      <c r="E232" s="20"/>
      <c r="F232" s="20"/>
      <c r="G232" s="20"/>
      <c r="H232" s="20"/>
      <c r="I232" s="20"/>
      <c r="J232" s="20"/>
      <c r="K232" s="20"/>
      <c r="L232" s="20"/>
      <c r="M232" s="20"/>
      <c r="N232" s="20"/>
      <c r="O232" s="20"/>
    </row>
    <row r="233" spans="1:15" x14ac:dyDescent="0.25">
      <c r="A233" s="20"/>
      <c r="B233" s="20"/>
      <c r="C233" s="20"/>
      <c r="D233" s="20"/>
      <c r="E233" s="20"/>
      <c r="F233" s="20"/>
      <c r="G233" s="20"/>
      <c r="H233" s="20"/>
      <c r="I233" s="20"/>
      <c r="J233" s="20"/>
      <c r="K233" s="20"/>
      <c r="L233" s="20"/>
      <c r="M233" s="20"/>
      <c r="N233" s="20"/>
      <c r="O233" s="20"/>
    </row>
    <row r="234" spans="1:15" x14ac:dyDescent="0.25">
      <c r="A234" s="20"/>
      <c r="B234" s="20"/>
      <c r="C234" s="20"/>
      <c r="D234" s="20"/>
      <c r="E234" s="20"/>
      <c r="F234" s="20"/>
      <c r="G234" s="20"/>
      <c r="H234" s="20"/>
      <c r="I234" s="20"/>
      <c r="J234" s="20"/>
      <c r="K234" s="20"/>
      <c r="L234" s="20"/>
      <c r="M234" s="20"/>
      <c r="N234" s="20"/>
      <c r="O234" s="20"/>
    </row>
    <row r="235" spans="1:15" x14ac:dyDescent="0.25">
      <c r="A235" s="20"/>
      <c r="B235" s="20"/>
      <c r="C235" s="20"/>
      <c r="D235" s="20"/>
      <c r="E235" s="20"/>
      <c r="F235" s="20"/>
      <c r="G235" s="20"/>
      <c r="H235" s="20"/>
      <c r="I235" s="20"/>
      <c r="J235" s="20"/>
      <c r="K235" s="20"/>
      <c r="L235" s="20"/>
      <c r="M235" s="20"/>
      <c r="N235" s="20"/>
      <c r="O235" s="20"/>
    </row>
    <row r="236" spans="1:15" x14ac:dyDescent="0.25">
      <c r="A236" s="20"/>
      <c r="B236" s="20"/>
      <c r="C236" s="20"/>
      <c r="D236" s="20"/>
      <c r="E236" s="20"/>
      <c r="F236" s="20"/>
      <c r="G236" s="20"/>
      <c r="H236" s="20"/>
      <c r="I236" s="20"/>
      <c r="J236" s="20"/>
      <c r="K236" s="20"/>
      <c r="L236" s="20"/>
      <c r="M236" s="20"/>
      <c r="N236" s="20"/>
      <c r="O236" s="20"/>
    </row>
    <row r="237" spans="1:15" x14ac:dyDescent="0.25">
      <c r="A237" s="20"/>
      <c r="B237" s="20"/>
      <c r="C237" s="20"/>
      <c r="D237" s="20"/>
      <c r="E237" s="20"/>
      <c r="F237" s="20"/>
      <c r="G237" s="20"/>
      <c r="H237" s="20"/>
      <c r="I237" s="20"/>
      <c r="J237" s="20"/>
      <c r="K237" s="20"/>
      <c r="L237" s="20"/>
      <c r="M237" s="20"/>
      <c r="N237" s="20"/>
      <c r="O237" s="20"/>
    </row>
    <row r="238" spans="1:15" x14ac:dyDescent="0.25">
      <c r="A238" s="20"/>
      <c r="B238" s="20"/>
      <c r="C238" s="20"/>
      <c r="D238" s="20"/>
      <c r="E238" s="20"/>
      <c r="F238" s="20"/>
      <c r="G238" s="20"/>
      <c r="H238" s="20"/>
      <c r="I238" s="20"/>
      <c r="J238" s="20"/>
      <c r="K238" s="20"/>
      <c r="L238" s="20"/>
      <c r="M238" s="20"/>
      <c r="N238" s="20"/>
      <c r="O238" s="20"/>
    </row>
    <row r="239" spans="1:15" x14ac:dyDescent="0.25">
      <c r="A239" s="20"/>
      <c r="B239" s="20"/>
      <c r="C239" s="20"/>
      <c r="D239" s="20"/>
      <c r="E239" s="20"/>
      <c r="F239" s="20"/>
      <c r="G239" s="20"/>
      <c r="H239" s="20"/>
      <c r="I239" s="20"/>
      <c r="J239" s="20"/>
      <c r="K239" s="20"/>
      <c r="L239" s="20"/>
      <c r="M239" s="20"/>
      <c r="N239" s="20"/>
      <c r="O239" s="20"/>
    </row>
    <row r="240" spans="1:15" x14ac:dyDescent="0.25">
      <c r="A240" s="20"/>
      <c r="B240" s="20"/>
      <c r="C240" s="20"/>
      <c r="D240" s="20"/>
      <c r="E240" s="20"/>
      <c r="F240" s="20"/>
      <c r="G240" s="20"/>
      <c r="H240" s="20"/>
      <c r="I240" s="20"/>
      <c r="J240" s="20"/>
      <c r="K240" s="20"/>
      <c r="L240" s="20"/>
      <c r="M240" s="20"/>
      <c r="N240" s="20"/>
      <c r="O240" s="20"/>
    </row>
    <row r="241" spans="1:15" x14ac:dyDescent="0.25">
      <c r="A241" s="20"/>
      <c r="B241" s="20"/>
      <c r="C241" s="20"/>
      <c r="D241" s="20"/>
      <c r="E241" s="20"/>
      <c r="F241" s="20"/>
      <c r="G241" s="20"/>
      <c r="H241" s="20"/>
      <c r="I241" s="20"/>
      <c r="J241" s="20"/>
      <c r="K241" s="20"/>
      <c r="L241" s="20"/>
      <c r="M241" s="20"/>
      <c r="N241" s="20"/>
      <c r="O241" s="20"/>
    </row>
    <row r="242" spans="1:15" x14ac:dyDescent="0.25">
      <c r="A242" s="20"/>
      <c r="B242" s="20"/>
      <c r="C242" s="20"/>
      <c r="D242" s="20"/>
      <c r="E242" s="20"/>
      <c r="F242" s="20"/>
      <c r="G242" s="20"/>
      <c r="H242" s="20"/>
      <c r="I242" s="20"/>
      <c r="J242" s="20"/>
      <c r="K242" s="20"/>
      <c r="L242" s="20"/>
      <c r="M242" s="20"/>
      <c r="N242" s="20"/>
      <c r="O242" s="20"/>
    </row>
    <row r="243" spans="1:15" x14ac:dyDescent="0.25">
      <c r="A243" s="20"/>
      <c r="B243" s="20"/>
      <c r="C243" s="20"/>
      <c r="D243" s="20"/>
      <c r="E243" s="20"/>
      <c r="F243" s="20"/>
      <c r="G243" s="20"/>
      <c r="H243" s="20"/>
      <c r="I243" s="20"/>
      <c r="J243" s="20"/>
      <c r="K243" s="20"/>
      <c r="L243" s="20"/>
      <c r="M243" s="20"/>
      <c r="N243" s="20"/>
      <c r="O243" s="20"/>
    </row>
    <row r="244" spans="1:15" x14ac:dyDescent="0.25">
      <c r="A244" s="20"/>
      <c r="B244" s="20"/>
      <c r="C244" s="20"/>
      <c r="D244" s="20"/>
      <c r="E244" s="20"/>
      <c r="F244" s="20"/>
      <c r="G244" s="20"/>
      <c r="H244" s="20"/>
      <c r="I244" s="20"/>
      <c r="J244" s="20"/>
      <c r="K244" s="20"/>
      <c r="L244" s="20"/>
      <c r="M244" s="20"/>
      <c r="N244" s="20"/>
      <c r="O244" s="20"/>
    </row>
    <row r="245" spans="1:15" x14ac:dyDescent="0.25">
      <c r="A245" s="20"/>
      <c r="B245" s="20"/>
      <c r="C245" s="20"/>
      <c r="D245" s="20"/>
      <c r="E245" s="20"/>
      <c r="F245" s="20"/>
      <c r="G245" s="20"/>
      <c r="H245" s="20"/>
      <c r="I245" s="20"/>
      <c r="J245" s="20"/>
      <c r="K245" s="20"/>
      <c r="L245" s="20"/>
      <c r="M245" s="20"/>
      <c r="N245" s="20"/>
      <c r="O245" s="20"/>
    </row>
    <row r="246" spans="1:15" x14ac:dyDescent="0.25">
      <c r="A246" s="20"/>
      <c r="B246" s="20"/>
      <c r="C246" s="20"/>
      <c r="D246" s="20"/>
      <c r="E246" s="20"/>
      <c r="F246" s="20"/>
      <c r="G246" s="20"/>
      <c r="H246" s="20"/>
      <c r="I246" s="20"/>
      <c r="J246" s="20"/>
      <c r="K246" s="20"/>
      <c r="L246" s="20"/>
      <c r="M246" s="20"/>
      <c r="N246" s="20"/>
      <c r="O246" s="20"/>
    </row>
    <row r="247" spans="1:15" x14ac:dyDescent="0.25">
      <c r="A247" s="20"/>
      <c r="B247" s="20"/>
      <c r="C247" s="20"/>
      <c r="D247" s="20"/>
      <c r="E247" s="20"/>
      <c r="F247" s="20"/>
      <c r="G247" s="20"/>
      <c r="H247" s="20"/>
      <c r="I247" s="20"/>
      <c r="J247" s="20"/>
      <c r="K247" s="20"/>
      <c r="L247" s="20"/>
      <c r="M247" s="20"/>
      <c r="N247" s="20"/>
      <c r="O247" s="20"/>
    </row>
    <row r="248" spans="1:15" x14ac:dyDescent="0.25">
      <c r="A248" s="20"/>
      <c r="B248" s="20"/>
      <c r="C248" s="20"/>
      <c r="D248" s="20"/>
      <c r="E248" s="20"/>
      <c r="F248" s="20"/>
      <c r="G248" s="20"/>
      <c r="H248" s="20"/>
      <c r="I248" s="20"/>
      <c r="J248" s="20"/>
      <c r="K248" s="20"/>
      <c r="L248" s="20"/>
      <c r="M248" s="20"/>
      <c r="N248" s="20"/>
      <c r="O248" s="20"/>
    </row>
    <row r="249" spans="1:15" x14ac:dyDescent="0.25">
      <c r="A249" s="20"/>
      <c r="B249" s="20"/>
      <c r="C249" s="20"/>
      <c r="D249" s="20"/>
      <c r="E249" s="20"/>
      <c r="F249" s="20"/>
      <c r="G249" s="20"/>
      <c r="H249" s="20"/>
      <c r="I249" s="20"/>
      <c r="J249" s="20"/>
      <c r="K249" s="20"/>
      <c r="L249" s="20"/>
      <c r="M249" s="20"/>
      <c r="N249" s="20"/>
      <c r="O249" s="20"/>
    </row>
    <row r="250" spans="1:15" x14ac:dyDescent="0.25">
      <c r="A250" s="20"/>
      <c r="B250" s="20"/>
      <c r="C250" s="20"/>
      <c r="D250" s="20"/>
      <c r="E250" s="20"/>
      <c r="F250" s="20"/>
      <c r="G250" s="20"/>
      <c r="H250" s="20"/>
      <c r="I250" s="20"/>
      <c r="J250" s="20"/>
      <c r="K250" s="20"/>
      <c r="L250" s="20"/>
      <c r="M250" s="20"/>
      <c r="N250" s="20"/>
      <c r="O250" s="20"/>
    </row>
    <row r="251" spans="1:15" x14ac:dyDescent="0.25">
      <c r="A251" s="20"/>
      <c r="B251" s="20"/>
      <c r="C251" s="20"/>
      <c r="D251" s="20"/>
      <c r="E251" s="20"/>
      <c r="F251" s="20"/>
      <c r="G251" s="20"/>
      <c r="H251" s="20"/>
      <c r="I251" s="20"/>
      <c r="J251" s="20"/>
      <c r="K251" s="20"/>
      <c r="L251" s="20"/>
      <c r="M251" s="20"/>
      <c r="N251" s="20"/>
      <c r="O251" s="20"/>
    </row>
    <row r="252" spans="1:15" x14ac:dyDescent="0.25">
      <c r="A252" s="20"/>
      <c r="B252" s="20"/>
      <c r="C252" s="20"/>
      <c r="D252" s="20"/>
      <c r="E252" s="20"/>
      <c r="F252" s="20"/>
      <c r="G252" s="20"/>
      <c r="H252" s="20"/>
      <c r="I252" s="20"/>
      <c r="J252" s="20"/>
      <c r="K252" s="20"/>
      <c r="L252" s="20"/>
      <c r="M252" s="20"/>
      <c r="N252" s="20"/>
      <c r="O252" s="20"/>
    </row>
    <row r="253" spans="1:15" x14ac:dyDescent="0.25">
      <c r="A253" s="20"/>
      <c r="B253" s="20"/>
      <c r="C253" s="20"/>
      <c r="D253" s="20"/>
      <c r="E253" s="20"/>
      <c r="F253" s="20"/>
      <c r="G253" s="20"/>
      <c r="H253" s="20"/>
      <c r="I253" s="20"/>
      <c r="J253" s="20"/>
      <c r="K253" s="20"/>
      <c r="L253" s="20"/>
      <c r="M253" s="20"/>
      <c r="N253" s="20"/>
      <c r="O253" s="20"/>
    </row>
    <row r="254" spans="1:15" x14ac:dyDescent="0.25">
      <c r="A254" s="20"/>
      <c r="B254" s="20"/>
      <c r="C254" s="20"/>
      <c r="D254" s="20"/>
      <c r="E254" s="20"/>
      <c r="F254" s="20"/>
      <c r="G254" s="20"/>
      <c r="H254" s="20"/>
      <c r="I254" s="20"/>
      <c r="J254" s="20"/>
      <c r="K254" s="20"/>
      <c r="L254" s="20"/>
      <c r="M254" s="20"/>
      <c r="N254" s="20"/>
      <c r="O254" s="20"/>
    </row>
    <row r="255" spans="1:15" x14ac:dyDescent="0.25">
      <c r="A255" s="20"/>
      <c r="B255" s="20"/>
      <c r="C255" s="20"/>
      <c r="D255" s="20"/>
      <c r="E255" s="20"/>
      <c r="F255" s="20"/>
      <c r="G255" s="20"/>
      <c r="H255" s="20"/>
      <c r="I255" s="20"/>
      <c r="J255" s="20"/>
      <c r="K255" s="20"/>
      <c r="L255" s="20"/>
      <c r="M255" s="20"/>
      <c r="N255" s="20"/>
      <c r="O255" s="20"/>
    </row>
    <row r="256" spans="1:15" x14ac:dyDescent="0.25">
      <c r="A256" s="20"/>
      <c r="B256" s="20"/>
      <c r="C256" s="20"/>
      <c r="D256" s="20"/>
      <c r="E256" s="20"/>
      <c r="F256" s="20"/>
      <c r="G256" s="20"/>
      <c r="H256" s="20"/>
      <c r="I256" s="20"/>
      <c r="J256" s="20"/>
      <c r="K256" s="20"/>
      <c r="L256" s="20"/>
      <c r="M256" s="20"/>
      <c r="N256" s="20"/>
      <c r="O256" s="20"/>
    </row>
    <row r="257" spans="1:15" x14ac:dyDescent="0.25">
      <c r="A257" s="20"/>
      <c r="B257" s="20"/>
      <c r="C257" s="20"/>
      <c r="D257" s="20"/>
      <c r="E257" s="20"/>
      <c r="F257" s="20"/>
      <c r="G257" s="20"/>
      <c r="H257" s="20"/>
      <c r="I257" s="20"/>
      <c r="J257" s="20"/>
      <c r="K257" s="20"/>
      <c r="L257" s="20"/>
      <c r="M257" s="20"/>
      <c r="N257" s="20"/>
      <c r="O257" s="20"/>
    </row>
    <row r="258" spans="1:15" x14ac:dyDescent="0.25">
      <c r="A258" s="20"/>
      <c r="B258" s="20"/>
      <c r="C258" s="20"/>
      <c r="D258" s="20"/>
      <c r="E258" s="20"/>
      <c r="F258" s="20"/>
      <c r="G258" s="20"/>
      <c r="H258" s="20"/>
      <c r="I258" s="20"/>
      <c r="J258" s="20"/>
      <c r="K258" s="20"/>
      <c r="L258" s="20"/>
      <c r="M258" s="20"/>
      <c r="N258" s="20"/>
      <c r="O258" s="20"/>
    </row>
    <row r="259" spans="1:15" x14ac:dyDescent="0.25">
      <c r="A259" s="20"/>
      <c r="B259" s="20"/>
      <c r="C259" s="20"/>
      <c r="D259" s="20"/>
      <c r="E259" s="20"/>
      <c r="F259" s="20"/>
      <c r="G259" s="20"/>
      <c r="H259" s="20"/>
      <c r="I259" s="20"/>
      <c r="J259" s="20"/>
      <c r="K259" s="20"/>
      <c r="L259" s="20"/>
      <c r="M259" s="20"/>
      <c r="N259" s="20"/>
      <c r="O259" s="20"/>
    </row>
    <row r="260" spans="1:15" x14ac:dyDescent="0.25">
      <c r="A260" s="20"/>
      <c r="B260" s="20"/>
      <c r="C260" s="20"/>
      <c r="D260" s="20"/>
      <c r="E260" s="20"/>
      <c r="F260" s="20"/>
      <c r="G260" s="20"/>
      <c r="H260" s="20"/>
      <c r="I260" s="20"/>
      <c r="J260" s="20"/>
      <c r="K260" s="20"/>
      <c r="L260" s="20"/>
      <c r="M260" s="20"/>
      <c r="N260" s="20"/>
      <c r="O260" s="20"/>
    </row>
    <row r="261" spans="1:15" x14ac:dyDescent="0.25">
      <c r="A261" s="20"/>
      <c r="B261" s="20"/>
      <c r="C261" s="20"/>
      <c r="D261" s="20"/>
      <c r="E261" s="20"/>
      <c r="F261" s="20"/>
      <c r="G261" s="20"/>
      <c r="H261" s="20"/>
      <c r="I261" s="20"/>
      <c r="J261" s="20"/>
      <c r="K261" s="20"/>
      <c r="L261" s="20"/>
      <c r="M261" s="20"/>
      <c r="N261" s="20"/>
      <c r="O261" s="20"/>
    </row>
    <row r="262" spans="1:15" x14ac:dyDescent="0.25">
      <c r="A262" s="20"/>
      <c r="B262" s="20"/>
      <c r="C262" s="20"/>
      <c r="D262" s="20"/>
      <c r="E262" s="20"/>
      <c r="F262" s="20"/>
      <c r="G262" s="20"/>
      <c r="H262" s="20"/>
      <c r="I262" s="20"/>
      <c r="J262" s="20"/>
      <c r="K262" s="20"/>
      <c r="L262" s="20"/>
      <c r="M262" s="20"/>
      <c r="N262" s="20"/>
      <c r="O262" s="20"/>
    </row>
    <row r="263" spans="1:15" x14ac:dyDescent="0.25">
      <c r="A263" s="20"/>
      <c r="B263" s="20"/>
      <c r="C263" s="20"/>
      <c r="D263" s="20"/>
      <c r="E263" s="20"/>
      <c r="F263" s="20"/>
      <c r="G263" s="20"/>
      <c r="H263" s="20"/>
      <c r="I263" s="20"/>
      <c r="J263" s="20"/>
      <c r="K263" s="20"/>
      <c r="L263" s="20"/>
      <c r="M263" s="20"/>
      <c r="N263" s="20"/>
      <c r="O263" s="20"/>
    </row>
    <row r="264" spans="1:15" x14ac:dyDescent="0.25">
      <c r="A264" s="20"/>
      <c r="B264" s="20"/>
      <c r="C264" s="20"/>
      <c r="D264" s="20"/>
      <c r="E264" s="20"/>
      <c r="F264" s="20"/>
      <c r="G264" s="20"/>
      <c r="H264" s="20"/>
      <c r="I264" s="20"/>
      <c r="J264" s="20"/>
      <c r="K264" s="20"/>
      <c r="L264" s="20"/>
      <c r="M264" s="20"/>
      <c r="N264" s="20"/>
      <c r="O264" s="20"/>
    </row>
    <row r="265" spans="1:15" x14ac:dyDescent="0.25">
      <c r="A265" s="20"/>
      <c r="B265" s="20"/>
      <c r="C265" s="20"/>
      <c r="D265" s="20"/>
      <c r="E265" s="20"/>
      <c r="F265" s="20"/>
      <c r="G265" s="20"/>
      <c r="H265" s="20"/>
      <c r="I265" s="20"/>
      <c r="J265" s="20"/>
      <c r="K265" s="20"/>
      <c r="L265" s="20"/>
      <c r="M265" s="20"/>
      <c r="N265" s="20"/>
      <c r="O265" s="20"/>
    </row>
    <row r="266" spans="1:15" x14ac:dyDescent="0.25">
      <c r="A266" s="20"/>
      <c r="B266" s="20"/>
      <c r="C266" s="20"/>
      <c r="D266" s="20"/>
      <c r="E266" s="20"/>
      <c r="F266" s="20"/>
      <c r="G266" s="20"/>
      <c r="H266" s="20"/>
      <c r="I266" s="20"/>
      <c r="J266" s="20"/>
      <c r="K266" s="20"/>
      <c r="L266" s="20"/>
      <c r="M266" s="20"/>
      <c r="N266" s="20"/>
      <c r="O266" s="20"/>
    </row>
    <row r="267" spans="1:15" x14ac:dyDescent="0.25">
      <c r="A267" s="20"/>
      <c r="B267" s="20"/>
      <c r="C267" s="20"/>
      <c r="D267" s="20"/>
      <c r="E267" s="20"/>
      <c r="F267" s="20"/>
      <c r="G267" s="20"/>
      <c r="H267" s="20"/>
      <c r="I267" s="20"/>
      <c r="J267" s="20"/>
      <c r="K267" s="20"/>
      <c r="L267" s="20"/>
      <c r="M267" s="20"/>
      <c r="N267" s="20"/>
      <c r="O267" s="20"/>
    </row>
    <row r="268" spans="1:15" x14ac:dyDescent="0.25">
      <c r="A268" s="20"/>
      <c r="B268" s="20"/>
      <c r="C268" s="20"/>
      <c r="D268" s="20"/>
      <c r="E268" s="20"/>
      <c r="F268" s="20"/>
      <c r="G268" s="20"/>
      <c r="H268" s="20"/>
      <c r="I268" s="20"/>
      <c r="J268" s="20"/>
      <c r="K268" s="20"/>
      <c r="L268" s="20"/>
      <c r="M268" s="20"/>
      <c r="N268" s="20"/>
      <c r="O268" s="20"/>
    </row>
    <row r="269" spans="1:15" x14ac:dyDescent="0.25">
      <c r="A269" s="20"/>
      <c r="B269" s="20"/>
      <c r="C269" s="20"/>
      <c r="D269" s="20"/>
      <c r="E269" s="20"/>
      <c r="F269" s="20"/>
      <c r="G269" s="20"/>
      <c r="H269" s="20"/>
      <c r="I269" s="20"/>
      <c r="J269" s="20"/>
      <c r="K269" s="20"/>
      <c r="L269" s="20"/>
      <c r="M269" s="20"/>
      <c r="N269" s="20"/>
      <c r="O269" s="20"/>
    </row>
    <row r="270" spans="1:15" x14ac:dyDescent="0.25">
      <c r="A270" s="20"/>
      <c r="B270" s="20"/>
      <c r="C270" s="20"/>
      <c r="D270" s="20"/>
      <c r="E270" s="20"/>
      <c r="F270" s="20"/>
      <c r="G270" s="20"/>
      <c r="H270" s="20"/>
      <c r="I270" s="20"/>
      <c r="J270" s="20"/>
      <c r="K270" s="20"/>
      <c r="L270" s="20"/>
      <c r="M270" s="20"/>
      <c r="N270" s="20"/>
      <c r="O270" s="20"/>
    </row>
    <row r="271" spans="1:15" x14ac:dyDescent="0.25">
      <c r="A271" s="20"/>
      <c r="B271" s="20"/>
      <c r="C271" s="20"/>
      <c r="D271" s="20"/>
      <c r="E271" s="20"/>
      <c r="F271" s="20"/>
      <c r="G271" s="20"/>
      <c r="H271" s="20"/>
      <c r="I271" s="20"/>
      <c r="J271" s="20"/>
      <c r="K271" s="20"/>
      <c r="L271" s="20"/>
      <c r="M271" s="20"/>
      <c r="N271" s="20"/>
      <c r="O271" s="20"/>
    </row>
    <row r="272" spans="1:15" x14ac:dyDescent="0.25">
      <c r="A272" s="20"/>
      <c r="B272" s="20"/>
      <c r="C272" s="20"/>
      <c r="D272" s="20"/>
      <c r="E272" s="20"/>
      <c r="F272" s="20"/>
      <c r="G272" s="20"/>
      <c r="H272" s="20"/>
      <c r="I272" s="20"/>
      <c r="J272" s="20"/>
      <c r="K272" s="20"/>
      <c r="L272" s="20"/>
      <c r="M272" s="20"/>
      <c r="N272" s="20"/>
      <c r="O272" s="20"/>
    </row>
    <row r="273" spans="1:15" x14ac:dyDescent="0.25">
      <c r="A273" s="20"/>
      <c r="B273" s="20"/>
      <c r="C273" s="20"/>
      <c r="D273" s="20"/>
      <c r="E273" s="20"/>
      <c r="F273" s="20"/>
      <c r="G273" s="20"/>
      <c r="H273" s="20"/>
      <c r="I273" s="20"/>
      <c r="J273" s="20"/>
      <c r="K273" s="20"/>
      <c r="L273" s="20"/>
      <c r="M273" s="20"/>
      <c r="N273" s="20"/>
      <c r="O273" s="20"/>
    </row>
    <row r="274" spans="1:15" x14ac:dyDescent="0.25">
      <c r="A274" s="20"/>
      <c r="B274" s="20"/>
      <c r="C274" s="20"/>
      <c r="D274" s="20"/>
      <c r="E274" s="20"/>
      <c r="F274" s="20"/>
      <c r="G274" s="20"/>
      <c r="H274" s="20"/>
      <c r="I274" s="20"/>
      <c r="J274" s="20"/>
      <c r="K274" s="20"/>
      <c r="L274" s="20"/>
      <c r="M274" s="20"/>
      <c r="N274" s="20"/>
      <c r="O274" s="20"/>
    </row>
    <row r="275" spans="1:15" x14ac:dyDescent="0.25">
      <c r="A275" s="20"/>
      <c r="B275" s="20"/>
      <c r="C275" s="20"/>
      <c r="D275" s="20"/>
      <c r="E275" s="20"/>
      <c r="F275" s="20"/>
      <c r="G275" s="20"/>
      <c r="H275" s="20"/>
      <c r="I275" s="20"/>
      <c r="J275" s="20"/>
      <c r="K275" s="20"/>
      <c r="L275" s="20"/>
      <c r="M275" s="20"/>
      <c r="N275" s="20"/>
      <c r="O275" s="20"/>
    </row>
    <row r="276" spans="1:15" x14ac:dyDescent="0.25">
      <c r="A276" s="20"/>
      <c r="B276" s="20"/>
      <c r="C276" s="20"/>
      <c r="D276" s="20"/>
      <c r="E276" s="20"/>
      <c r="F276" s="20"/>
      <c r="G276" s="20"/>
      <c r="H276" s="20"/>
      <c r="I276" s="20"/>
      <c r="J276" s="20"/>
      <c r="K276" s="20"/>
      <c r="L276" s="20"/>
      <c r="M276" s="20"/>
      <c r="N276" s="20"/>
      <c r="O276" s="20"/>
    </row>
    <row r="277" spans="1:15" x14ac:dyDescent="0.25">
      <c r="A277" s="20"/>
      <c r="B277" s="20"/>
      <c r="C277" s="20"/>
      <c r="D277" s="20"/>
      <c r="E277" s="20"/>
      <c r="F277" s="20"/>
      <c r="G277" s="20"/>
      <c r="H277" s="20"/>
      <c r="I277" s="20"/>
      <c r="J277" s="20"/>
      <c r="K277" s="20"/>
      <c r="L277" s="20"/>
      <c r="M277" s="20"/>
      <c r="N277" s="20"/>
      <c r="O277" s="20"/>
    </row>
    <row r="278" spans="1:15" x14ac:dyDescent="0.25">
      <c r="A278" s="20"/>
      <c r="B278" s="20"/>
      <c r="C278" s="20"/>
      <c r="D278" s="20"/>
      <c r="E278" s="20"/>
      <c r="F278" s="20"/>
      <c r="G278" s="20"/>
      <c r="H278" s="20"/>
      <c r="I278" s="20"/>
      <c r="J278" s="20"/>
      <c r="K278" s="20"/>
      <c r="L278" s="20"/>
      <c r="M278" s="20"/>
      <c r="N278" s="20"/>
      <c r="O278" s="20"/>
    </row>
    <row r="279" spans="1:15" x14ac:dyDescent="0.25">
      <c r="A279" s="20"/>
      <c r="B279" s="20"/>
      <c r="C279" s="20"/>
      <c r="D279" s="20"/>
      <c r="E279" s="20"/>
      <c r="F279" s="20"/>
      <c r="G279" s="20"/>
      <c r="H279" s="20"/>
      <c r="I279" s="20"/>
      <c r="J279" s="20"/>
      <c r="K279" s="20"/>
      <c r="L279" s="20"/>
      <c r="M279" s="20"/>
      <c r="N279" s="20"/>
      <c r="O279" s="20"/>
    </row>
    <row r="280" spans="1:15" x14ac:dyDescent="0.25">
      <c r="A280" s="20"/>
      <c r="B280" s="20"/>
      <c r="C280" s="20"/>
      <c r="D280" s="20"/>
      <c r="E280" s="20"/>
      <c r="F280" s="20"/>
      <c r="G280" s="20"/>
      <c r="H280" s="20"/>
      <c r="I280" s="20"/>
      <c r="J280" s="20"/>
      <c r="K280" s="20"/>
      <c r="L280" s="20"/>
      <c r="M280" s="20"/>
      <c r="N280" s="20"/>
      <c r="O280" s="20"/>
    </row>
    <row r="281" spans="1:15" x14ac:dyDescent="0.25">
      <c r="A281" s="20"/>
      <c r="B281" s="20"/>
      <c r="C281" s="20"/>
      <c r="D281" s="20"/>
      <c r="E281" s="20"/>
      <c r="F281" s="20"/>
      <c r="G281" s="20"/>
      <c r="H281" s="20"/>
      <c r="I281" s="20"/>
      <c r="J281" s="20"/>
      <c r="K281" s="20"/>
      <c r="L281" s="20"/>
      <c r="M281" s="20"/>
      <c r="N281" s="20"/>
      <c r="O281" s="20"/>
    </row>
    <row r="282" spans="1:15" x14ac:dyDescent="0.25">
      <c r="A282" s="20"/>
      <c r="B282" s="20"/>
      <c r="C282" s="20"/>
      <c r="D282" s="20"/>
      <c r="E282" s="20"/>
      <c r="F282" s="20"/>
      <c r="G282" s="20"/>
      <c r="H282" s="20"/>
      <c r="I282" s="20"/>
      <c r="J282" s="20"/>
      <c r="K282" s="20"/>
      <c r="L282" s="20"/>
      <c r="M282" s="20"/>
      <c r="N282" s="20"/>
      <c r="O282" s="20"/>
    </row>
    <row r="283" spans="1:15" x14ac:dyDescent="0.25">
      <c r="A283" s="20"/>
      <c r="B283" s="20"/>
      <c r="C283" s="20"/>
      <c r="D283" s="20"/>
      <c r="E283" s="20"/>
      <c r="F283" s="20"/>
      <c r="G283" s="20"/>
      <c r="H283" s="20"/>
      <c r="I283" s="20"/>
      <c r="J283" s="20"/>
      <c r="K283" s="20"/>
      <c r="L283" s="20"/>
      <c r="M283" s="20"/>
      <c r="N283" s="20"/>
      <c r="O283" s="20"/>
    </row>
    <row r="284" spans="1:15" x14ac:dyDescent="0.25">
      <c r="A284" s="20"/>
      <c r="B284" s="20"/>
      <c r="C284" s="20"/>
      <c r="D284" s="20"/>
      <c r="E284" s="20"/>
      <c r="F284" s="20"/>
      <c r="G284" s="20"/>
      <c r="H284" s="20"/>
      <c r="I284" s="20"/>
      <c r="J284" s="20"/>
      <c r="K284" s="20"/>
      <c r="L284" s="20"/>
      <c r="M284" s="20"/>
      <c r="N284" s="20"/>
      <c r="O284" s="20"/>
    </row>
    <row r="285" spans="1:15" x14ac:dyDescent="0.25">
      <c r="A285" s="20"/>
      <c r="B285" s="20"/>
      <c r="C285" s="20"/>
      <c r="D285" s="20"/>
      <c r="E285" s="20"/>
      <c r="F285" s="20"/>
      <c r="G285" s="20"/>
      <c r="H285" s="20"/>
      <c r="I285" s="20"/>
      <c r="J285" s="20"/>
      <c r="K285" s="20"/>
      <c r="L285" s="20"/>
      <c r="M285" s="20"/>
      <c r="N285" s="20"/>
      <c r="O285" s="20"/>
    </row>
    <row r="286" spans="1:15" x14ac:dyDescent="0.25">
      <c r="A286" s="20"/>
      <c r="B286" s="20"/>
      <c r="C286" s="20"/>
      <c r="D286" s="20"/>
      <c r="E286" s="20"/>
      <c r="F286" s="20"/>
      <c r="G286" s="20"/>
      <c r="H286" s="20"/>
      <c r="I286" s="20"/>
      <c r="J286" s="20"/>
      <c r="K286" s="20"/>
      <c r="L286" s="20"/>
      <c r="M286" s="20"/>
      <c r="N286" s="20"/>
      <c r="O286" s="20"/>
    </row>
    <row r="287" spans="1:15" x14ac:dyDescent="0.25">
      <c r="A287" s="20"/>
      <c r="B287" s="20"/>
      <c r="C287" s="20"/>
      <c r="D287" s="20"/>
      <c r="E287" s="20"/>
      <c r="F287" s="20"/>
      <c r="G287" s="20"/>
      <c r="H287" s="20"/>
      <c r="I287" s="20"/>
      <c r="J287" s="20"/>
      <c r="K287" s="20"/>
      <c r="L287" s="20"/>
      <c r="M287" s="20"/>
      <c r="N287" s="20"/>
      <c r="O287" s="20"/>
    </row>
    <row r="288" spans="1:15" x14ac:dyDescent="0.25">
      <c r="A288" s="20"/>
      <c r="B288" s="20"/>
      <c r="C288" s="20"/>
      <c r="D288" s="20"/>
      <c r="E288" s="20"/>
      <c r="F288" s="20"/>
      <c r="G288" s="20"/>
      <c r="H288" s="20"/>
      <c r="I288" s="20"/>
      <c r="J288" s="20"/>
      <c r="K288" s="20"/>
      <c r="L288" s="20"/>
      <c r="M288" s="20"/>
      <c r="N288" s="20"/>
      <c r="O288" s="20"/>
    </row>
    <row r="289" spans="1:15" x14ac:dyDescent="0.25">
      <c r="A289" s="20"/>
      <c r="B289" s="20"/>
      <c r="C289" s="20"/>
      <c r="D289" s="20"/>
      <c r="E289" s="20"/>
      <c r="F289" s="20"/>
      <c r="G289" s="20"/>
      <c r="H289" s="20"/>
      <c r="I289" s="20"/>
      <c r="J289" s="20"/>
      <c r="K289" s="20"/>
      <c r="L289" s="20"/>
      <c r="M289" s="20"/>
      <c r="N289" s="20"/>
      <c r="O289" s="20"/>
    </row>
    <row r="290" spans="1:15" x14ac:dyDescent="0.25">
      <c r="A290" s="20"/>
      <c r="B290" s="20"/>
      <c r="C290" s="20"/>
      <c r="D290" s="20"/>
      <c r="E290" s="20"/>
      <c r="F290" s="20"/>
      <c r="G290" s="20"/>
      <c r="H290" s="20"/>
      <c r="I290" s="20"/>
      <c r="J290" s="20"/>
      <c r="K290" s="20"/>
      <c r="L290" s="20"/>
      <c r="M290" s="20"/>
      <c r="N290" s="20"/>
      <c r="O290" s="20"/>
    </row>
    <row r="291" spans="1:15" x14ac:dyDescent="0.25">
      <c r="A291" s="20"/>
      <c r="B291" s="20"/>
      <c r="C291" s="20"/>
      <c r="D291" s="20"/>
      <c r="E291" s="20"/>
      <c r="F291" s="20"/>
      <c r="G291" s="20"/>
      <c r="H291" s="20"/>
      <c r="I291" s="20"/>
      <c r="J291" s="20"/>
      <c r="K291" s="20"/>
      <c r="L291" s="20"/>
      <c r="M291" s="20"/>
      <c r="N291" s="20"/>
      <c r="O291" s="20"/>
    </row>
    <row r="292" spans="1:15" x14ac:dyDescent="0.25">
      <c r="A292" s="20"/>
      <c r="B292" s="20"/>
      <c r="C292" s="20"/>
      <c r="D292" s="20"/>
      <c r="E292" s="20"/>
      <c r="F292" s="20"/>
      <c r="G292" s="20"/>
      <c r="H292" s="20"/>
      <c r="I292" s="20"/>
      <c r="J292" s="20"/>
      <c r="K292" s="20"/>
      <c r="L292" s="20"/>
      <c r="M292" s="20"/>
      <c r="N292" s="20"/>
      <c r="O292" s="20"/>
    </row>
    <row r="293" spans="1:15" x14ac:dyDescent="0.25">
      <c r="A293" s="20"/>
      <c r="B293" s="20"/>
      <c r="C293" s="20"/>
      <c r="D293" s="20"/>
      <c r="E293" s="20"/>
      <c r="F293" s="20"/>
      <c r="G293" s="20"/>
      <c r="H293" s="20"/>
      <c r="I293" s="20"/>
      <c r="J293" s="20"/>
      <c r="K293" s="20"/>
      <c r="L293" s="20"/>
      <c r="M293" s="20"/>
      <c r="N293" s="20"/>
      <c r="O293" s="20"/>
    </row>
    <row r="294" spans="1:15" x14ac:dyDescent="0.25">
      <c r="A294" s="20"/>
      <c r="B294" s="20"/>
      <c r="C294" s="20"/>
      <c r="D294" s="20"/>
      <c r="E294" s="20"/>
      <c r="F294" s="20"/>
      <c r="G294" s="20"/>
      <c r="H294" s="20"/>
      <c r="I294" s="20"/>
      <c r="J294" s="20"/>
      <c r="K294" s="20"/>
      <c r="L294" s="20"/>
      <c r="M294" s="20"/>
      <c r="N294" s="20"/>
      <c r="O294" s="20"/>
    </row>
    <row r="295" spans="1:15" x14ac:dyDescent="0.25">
      <c r="A295" s="20"/>
      <c r="B295" s="20"/>
      <c r="C295" s="20"/>
      <c r="D295" s="20"/>
      <c r="E295" s="20"/>
      <c r="F295" s="20"/>
      <c r="G295" s="20"/>
      <c r="H295" s="20"/>
      <c r="I295" s="20"/>
      <c r="J295" s="20"/>
      <c r="K295" s="20"/>
      <c r="L295" s="20"/>
      <c r="M295" s="20"/>
      <c r="N295" s="20"/>
      <c r="O295" s="20"/>
    </row>
    <row r="296" spans="1:15" x14ac:dyDescent="0.25">
      <c r="A296" s="20"/>
      <c r="B296" s="20"/>
      <c r="C296" s="20"/>
      <c r="D296" s="20"/>
      <c r="E296" s="20"/>
      <c r="F296" s="20"/>
      <c r="G296" s="20"/>
      <c r="H296" s="20"/>
      <c r="I296" s="20"/>
      <c r="J296" s="20"/>
      <c r="K296" s="20"/>
      <c r="L296" s="20"/>
      <c r="M296" s="20"/>
      <c r="N296" s="20"/>
      <c r="O296" s="20"/>
    </row>
    <row r="297" spans="1:15" x14ac:dyDescent="0.25">
      <c r="A297" s="20"/>
      <c r="B297" s="20"/>
      <c r="C297" s="20"/>
      <c r="D297" s="20"/>
      <c r="E297" s="20"/>
      <c r="F297" s="20"/>
      <c r="G297" s="20"/>
      <c r="H297" s="20"/>
      <c r="I297" s="20"/>
      <c r="J297" s="20"/>
      <c r="K297" s="20"/>
      <c r="L297" s="20"/>
      <c r="M297" s="20"/>
      <c r="N297" s="20"/>
      <c r="O297" s="20"/>
    </row>
    <row r="298" spans="1:15" x14ac:dyDescent="0.25">
      <c r="A298" s="20"/>
      <c r="B298" s="20"/>
      <c r="C298" s="20"/>
      <c r="D298" s="20"/>
      <c r="E298" s="20"/>
      <c r="F298" s="20"/>
      <c r="G298" s="20"/>
      <c r="H298" s="20"/>
      <c r="I298" s="20"/>
      <c r="J298" s="20"/>
      <c r="K298" s="20"/>
      <c r="L298" s="20"/>
      <c r="M298" s="20"/>
      <c r="N298" s="20"/>
      <c r="O298" s="20"/>
    </row>
    <row r="299" spans="1:15" x14ac:dyDescent="0.25">
      <c r="A299" s="20"/>
      <c r="B299" s="20"/>
      <c r="C299" s="20"/>
      <c r="D299" s="20"/>
      <c r="E299" s="20"/>
      <c r="F299" s="20"/>
      <c r="G299" s="20"/>
      <c r="H299" s="20"/>
      <c r="I299" s="20"/>
      <c r="J299" s="20"/>
      <c r="K299" s="20"/>
      <c r="L299" s="20"/>
      <c r="M299" s="20"/>
      <c r="N299" s="20"/>
      <c r="O299" s="20"/>
    </row>
    <row r="300" spans="1:15" x14ac:dyDescent="0.25">
      <c r="A300" s="20"/>
      <c r="B300" s="20"/>
      <c r="C300" s="20"/>
      <c r="D300" s="20"/>
      <c r="E300" s="20"/>
      <c r="F300" s="20"/>
      <c r="G300" s="20"/>
      <c r="H300" s="20"/>
      <c r="I300" s="20"/>
      <c r="J300" s="20"/>
      <c r="K300" s="20"/>
      <c r="L300" s="20"/>
      <c r="M300" s="20"/>
      <c r="N300" s="20"/>
      <c r="O300" s="20"/>
    </row>
    <row r="301" spans="1:15" x14ac:dyDescent="0.25">
      <c r="A301" s="20"/>
      <c r="B301" s="20"/>
      <c r="C301" s="20"/>
      <c r="D301" s="20"/>
      <c r="E301" s="20"/>
      <c r="F301" s="20"/>
      <c r="G301" s="20"/>
      <c r="H301" s="20"/>
      <c r="I301" s="20"/>
      <c r="J301" s="20"/>
      <c r="K301" s="20"/>
      <c r="L301" s="20"/>
      <c r="M301" s="20"/>
      <c r="N301" s="20"/>
      <c r="O301" s="20"/>
    </row>
    <row r="302" spans="1:15" x14ac:dyDescent="0.25">
      <c r="A302" s="20"/>
      <c r="B302" s="20"/>
      <c r="C302" s="20"/>
      <c r="D302" s="20"/>
      <c r="E302" s="20"/>
      <c r="F302" s="20"/>
      <c r="G302" s="20"/>
      <c r="H302" s="20"/>
      <c r="I302" s="20"/>
      <c r="J302" s="20"/>
      <c r="K302" s="20"/>
      <c r="L302" s="20"/>
      <c r="M302" s="20"/>
      <c r="N302" s="20"/>
      <c r="O302" s="20"/>
    </row>
    <row r="303" spans="1:15" x14ac:dyDescent="0.25">
      <c r="A303" s="20"/>
      <c r="B303" s="20"/>
      <c r="C303" s="20"/>
      <c r="D303" s="20"/>
      <c r="E303" s="20"/>
      <c r="F303" s="20"/>
      <c r="G303" s="20"/>
      <c r="H303" s="20"/>
      <c r="I303" s="20"/>
      <c r="J303" s="20"/>
      <c r="K303" s="20"/>
      <c r="L303" s="20"/>
      <c r="M303" s="20"/>
      <c r="N303" s="20"/>
      <c r="O303" s="20"/>
    </row>
    <row r="304" spans="1:15" x14ac:dyDescent="0.25">
      <c r="A304" s="20"/>
      <c r="B304" s="20"/>
      <c r="C304" s="20"/>
      <c r="D304" s="20"/>
      <c r="E304" s="20"/>
      <c r="F304" s="20"/>
      <c r="G304" s="20"/>
      <c r="H304" s="20"/>
      <c r="I304" s="20"/>
      <c r="J304" s="20"/>
      <c r="K304" s="20"/>
      <c r="L304" s="20"/>
      <c r="M304" s="20"/>
      <c r="N304" s="20"/>
      <c r="O304" s="20"/>
    </row>
    <row r="305" spans="1:15" x14ac:dyDescent="0.25">
      <c r="A305" s="20"/>
      <c r="B305" s="20"/>
      <c r="C305" s="20"/>
      <c r="D305" s="20"/>
      <c r="E305" s="20"/>
      <c r="F305" s="20"/>
      <c r="G305" s="20"/>
      <c r="H305" s="20"/>
      <c r="I305" s="20"/>
      <c r="J305" s="20"/>
      <c r="K305" s="20"/>
      <c r="L305" s="20"/>
      <c r="M305" s="20"/>
      <c r="N305" s="20"/>
      <c r="O305" s="20"/>
    </row>
    <row r="306" spans="1:15" x14ac:dyDescent="0.25">
      <c r="A306" s="20"/>
      <c r="B306" s="20"/>
      <c r="C306" s="20"/>
      <c r="D306" s="20"/>
      <c r="E306" s="20"/>
      <c r="F306" s="20"/>
      <c r="G306" s="20"/>
      <c r="H306" s="20"/>
      <c r="I306" s="20"/>
      <c r="J306" s="20"/>
      <c r="K306" s="20"/>
      <c r="L306" s="20"/>
      <c r="M306" s="20"/>
      <c r="N306" s="20"/>
      <c r="O306" s="20"/>
    </row>
    <row r="307" spans="1:15" x14ac:dyDescent="0.25">
      <c r="A307" s="20"/>
      <c r="B307" s="20"/>
      <c r="C307" s="20"/>
      <c r="D307" s="20"/>
      <c r="E307" s="20"/>
      <c r="F307" s="20"/>
      <c r="G307" s="20"/>
      <c r="H307" s="20"/>
      <c r="I307" s="20"/>
      <c r="J307" s="20"/>
      <c r="K307" s="20"/>
      <c r="L307" s="20"/>
      <c r="M307" s="20"/>
      <c r="N307" s="20"/>
      <c r="O307" s="20"/>
    </row>
    <row r="308" spans="1:15" x14ac:dyDescent="0.25">
      <c r="A308" s="20"/>
      <c r="B308" s="20"/>
      <c r="C308" s="20"/>
      <c r="D308" s="20"/>
      <c r="E308" s="20"/>
      <c r="F308" s="20"/>
      <c r="G308" s="20"/>
      <c r="H308" s="20"/>
      <c r="I308" s="20"/>
      <c r="J308" s="20"/>
      <c r="K308" s="20"/>
      <c r="L308" s="20"/>
      <c r="M308" s="20"/>
      <c r="N308" s="20"/>
      <c r="O308" s="20"/>
    </row>
    <row r="309" spans="1:15" x14ac:dyDescent="0.25">
      <c r="A309" s="20"/>
      <c r="B309" s="20"/>
      <c r="C309" s="20"/>
      <c r="D309" s="20"/>
      <c r="E309" s="20"/>
      <c r="F309" s="20"/>
      <c r="G309" s="20"/>
      <c r="H309" s="20"/>
      <c r="I309" s="20"/>
      <c r="J309" s="20"/>
      <c r="K309" s="20"/>
      <c r="L309" s="20"/>
      <c r="M309" s="20"/>
      <c r="N309" s="20"/>
      <c r="O309" s="20"/>
    </row>
    <row r="310" spans="1:15" x14ac:dyDescent="0.25">
      <c r="A310" s="20"/>
      <c r="B310" s="20"/>
      <c r="C310" s="20"/>
      <c r="D310" s="20"/>
      <c r="E310" s="20"/>
      <c r="F310" s="20"/>
      <c r="G310" s="20"/>
      <c r="H310" s="20"/>
      <c r="I310" s="20"/>
      <c r="J310" s="20"/>
      <c r="K310" s="20"/>
      <c r="L310" s="20"/>
      <c r="M310" s="20"/>
      <c r="N310" s="20"/>
      <c r="O310" s="20"/>
    </row>
    <row r="311" spans="1:15" x14ac:dyDescent="0.25">
      <c r="A311" s="20"/>
      <c r="B311" s="20"/>
      <c r="C311" s="20"/>
      <c r="D311" s="20"/>
      <c r="E311" s="20"/>
      <c r="F311" s="20"/>
      <c r="G311" s="20"/>
      <c r="H311" s="20"/>
      <c r="I311" s="20"/>
      <c r="J311" s="20"/>
      <c r="K311" s="20"/>
      <c r="L311" s="20"/>
      <c r="M311" s="20"/>
      <c r="N311" s="20"/>
      <c r="O311" s="20"/>
    </row>
    <row r="312" spans="1:15" x14ac:dyDescent="0.25">
      <c r="A312" s="20"/>
      <c r="B312" s="20"/>
      <c r="C312" s="20"/>
      <c r="D312" s="20"/>
      <c r="E312" s="20"/>
      <c r="F312" s="20"/>
      <c r="G312" s="20"/>
      <c r="H312" s="20"/>
      <c r="I312" s="20"/>
      <c r="J312" s="20"/>
      <c r="K312" s="20"/>
      <c r="L312" s="20"/>
      <c r="M312" s="20"/>
      <c r="N312" s="20"/>
      <c r="O312" s="20"/>
    </row>
    <row r="313" spans="1:15" x14ac:dyDescent="0.25">
      <c r="A313" s="20"/>
      <c r="B313" s="20"/>
      <c r="C313" s="20"/>
      <c r="D313" s="20"/>
      <c r="E313" s="20"/>
      <c r="F313" s="20"/>
      <c r="G313" s="20"/>
      <c r="H313" s="20"/>
      <c r="I313" s="20"/>
      <c r="J313" s="20"/>
      <c r="K313" s="20"/>
      <c r="L313" s="20"/>
      <c r="M313" s="20"/>
      <c r="N313" s="20"/>
      <c r="O313" s="20"/>
    </row>
    <row r="314" spans="1:15" x14ac:dyDescent="0.25">
      <c r="A314" s="20"/>
      <c r="B314" s="20"/>
      <c r="C314" s="20"/>
      <c r="D314" s="20"/>
      <c r="E314" s="20"/>
      <c r="F314" s="20"/>
      <c r="G314" s="20"/>
      <c r="H314" s="20"/>
      <c r="I314" s="20"/>
      <c r="J314" s="20"/>
      <c r="K314" s="20"/>
      <c r="L314" s="20"/>
      <c r="M314" s="20"/>
      <c r="N314" s="20"/>
      <c r="O314" s="20"/>
    </row>
    <row r="315" spans="1:15" x14ac:dyDescent="0.25">
      <c r="A315" s="20"/>
      <c r="B315" s="20"/>
      <c r="C315" s="20"/>
      <c r="D315" s="20"/>
      <c r="E315" s="20"/>
      <c r="F315" s="20"/>
      <c r="G315" s="20"/>
      <c r="H315" s="20"/>
      <c r="I315" s="20"/>
      <c r="J315" s="20"/>
      <c r="K315" s="20"/>
      <c r="L315" s="20"/>
      <c r="M315" s="20"/>
      <c r="N315" s="20"/>
      <c r="O315" s="20"/>
    </row>
    <row r="316" spans="1:15" x14ac:dyDescent="0.25">
      <c r="A316" s="20"/>
      <c r="B316" s="20"/>
      <c r="C316" s="20"/>
      <c r="D316" s="20"/>
      <c r="E316" s="20"/>
      <c r="F316" s="20"/>
      <c r="G316" s="20"/>
      <c r="H316" s="20"/>
      <c r="I316" s="20"/>
      <c r="J316" s="20"/>
      <c r="K316" s="20"/>
      <c r="L316" s="20"/>
      <c r="M316" s="20"/>
      <c r="N316" s="20"/>
      <c r="O316" s="20"/>
    </row>
    <row r="317" spans="1:15" x14ac:dyDescent="0.25">
      <c r="A317" s="20"/>
      <c r="B317" s="20"/>
      <c r="C317" s="20"/>
      <c r="D317" s="20"/>
      <c r="E317" s="20"/>
      <c r="F317" s="20"/>
      <c r="G317" s="20"/>
      <c r="H317" s="20"/>
      <c r="I317" s="20"/>
      <c r="J317" s="20"/>
      <c r="K317" s="20"/>
      <c r="L317" s="20"/>
      <c r="M317" s="20"/>
      <c r="N317" s="20"/>
      <c r="O317" s="20"/>
    </row>
    <row r="318" spans="1:15" x14ac:dyDescent="0.25">
      <c r="A318" s="20"/>
      <c r="B318" s="20"/>
      <c r="C318" s="20"/>
      <c r="D318" s="20"/>
      <c r="E318" s="20"/>
      <c r="F318" s="20"/>
      <c r="G318" s="20"/>
      <c r="H318" s="20"/>
      <c r="I318" s="20"/>
      <c r="J318" s="20"/>
      <c r="K318" s="20"/>
      <c r="L318" s="20"/>
      <c r="M318" s="20"/>
      <c r="N318" s="20"/>
      <c r="O318" s="20"/>
    </row>
    <row r="319" spans="1:15" x14ac:dyDescent="0.25">
      <c r="A319" s="20"/>
      <c r="B319" s="20"/>
      <c r="C319" s="20"/>
      <c r="D319" s="20"/>
      <c r="E319" s="20"/>
      <c r="F319" s="20"/>
      <c r="G319" s="20"/>
      <c r="H319" s="20"/>
      <c r="I319" s="20"/>
      <c r="J319" s="20"/>
      <c r="K319" s="20"/>
      <c r="L319" s="20"/>
      <c r="M319" s="20"/>
      <c r="N319" s="20"/>
      <c r="O319" s="20"/>
    </row>
    <row r="320" spans="1:15" x14ac:dyDescent="0.25">
      <c r="A320" s="20"/>
      <c r="B320" s="20"/>
      <c r="C320" s="20"/>
      <c r="D320" s="20"/>
      <c r="E320" s="20"/>
      <c r="F320" s="20"/>
      <c r="G320" s="20"/>
      <c r="H320" s="20"/>
      <c r="I320" s="20"/>
      <c r="J320" s="20"/>
      <c r="K320" s="20"/>
      <c r="L320" s="20"/>
      <c r="M320" s="20"/>
      <c r="N320" s="20"/>
      <c r="O320" s="20"/>
    </row>
    <row r="321" spans="1:15" x14ac:dyDescent="0.25">
      <c r="A321" s="20"/>
      <c r="B321" s="20"/>
      <c r="C321" s="20"/>
      <c r="D321" s="20"/>
      <c r="E321" s="20"/>
      <c r="F321" s="20"/>
      <c r="G321" s="20"/>
      <c r="H321" s="20"/>
      <c r="I321" s="20"/>
      <c r="J321" s="20"/>
      <c r="K321" s="20"/>
      <c r="L321" s="20"/>
      <c r="M321" s="20"/>
      <c r="N321" s="20"/>
      <c r="O321" s="20"/>
    </row>
    <row r="322" spans="1:15" x14ac:dyDescent="0.25">
      <c r="A322" s="20"/>
      <c r="B322" s="20"/>
      <c r="C322" s="20"/>
      <c r="D322" s="20"/>
      <c r="E322" s="20"/>
      <c r="F322" s="20"/>
      <c r="G322" s="20"/>
      <c r="H322" s="20"/>
      <c r="I322" s="20"/>
      <c r="J322" s="20"/>
      <c r="K322" s="20"/>
      <c r="L322" s="20"/>
      <c r="M322" s="20"/>
      <c r="N322" s="20"/>
      <c r="O322" s="20"/>
    </row>
    <row r="323" spans="1:15" x14ac:dyDescent="0.25">
      <c r="A323" s="20"/>
      <c r="B323" s="20"/>
      <c r="C323" s="20"/>
      <c r="D323" s="20"/>
      <c r="E323" s="20"/>
      <c r="F323" s="20"/>
      <c r="G323" s="20"/>
      <c r="H323" s="20"/>
      <c r="I323" s="20"/>
      <c r="J323" s="20"/>
      <c r="K323" s="20"/>
      <c r="L323" s="20"/>
      <c r="M323" s="20"/>
      <c r="N323" s="20"/>
      <c r="O323" s="20"/>
    </row>
    <row r="324" spans="1:15" x14ac:dyDescent="0.25">
      <c r="A324" s="20"/>
      <c r="B324" s="20"/>
      <c r="C324" s="20"/>
      <c r="D324" s="20"/>
      <c r="E324" s="20"/>
      <c r="F324" s="20"/>
      <c r="G324" s="20"/>
      <c r="H324" s="20"/>
      <c r="I324" s="20"/>
      <c r="J324" s="20"/>
      <c r="K324" s="20"/>
      <c r="L324" s="20"/>
      <c r="M324" s="20"/>
      <c r="N324" s="20"/>
      <c r="O324" s="20"/>
    </row>
    <row r="325" spans="1:15" x14ac:dyDescent="0.25">
      <c r="A325" s="20"/>
      <c r="B325" s="20"/>
      <c r="C325" s="20"/>
      <c r="D325" s="20"/>
      <c r="E325" s="20"/>
      <c r="F325" s="20"/>
      <c r="G325" s="20"/>
      <c r="H325" s="20"/>
      <c r="I325" s="20"/>
      <c r="J325" s="20"/>
      <c r="K325" s="20"/>
      <c r="L325" s="20"/>
      <c r="M325" s="20"/>
      <c r="N325" s="20"/>
      <c r="O325" s="20"/>
    </row>
    <row r="326" spans="1:15" x14ac:dyDescent="0.25">
      <c r="A326" s="20"/>
      <c r="B326" s="20"/>
      <c r="C326" s="20"/>
      <c r="D326" s="20"/>
      <c r="E326" s="20"/>
      <c r="F326" s="20"/>
      <c r="G326" s="20"/>
      <c r="H326" s="20"/>
      <c r="I326" s="20"/>
      <c r="J326" s="20"/>
      <c r="K326" s="20"/>
      <c r="L326" s="20"/>
      <c r="M326" s="20"/>
      <c r="N326" s="20"/>
      <c r="O326" s="20"/>
    </row>
    <row r="327" spans="1:15" x14ac:dyDescent="0.25">
      <c r="A327" s="20"/>
      <c r="B327" s="20"/>
      <c r="C327" s="20"/>
      <c r="D327" s="20"/>
      <c r="E327" s="20"/>
      <c r="F327" s="20"/>
      <c r="G327" s="20"/>
      <c r="H327" s="20"/>
      <c r="I327" s="20"/>
      <c r="J327" s="20"/>
      <c r="K327" s="20"/>
      <c r="L327" s="20"/>
      <c r="M327" s="20"/>
      <c r="N327" s="20"/>
      <c r="O327" s="20"/>
    </row>
    <row r="328" spans="1:15" x14ac:dyDescent="0.25">
      <c r="A328" s="20"/>
      <c r="B328" s="20"/>
      <c r="C328" s="20"/>
      <c r="D328" s="20"/>
      <c r="E328" s="20"/>
      <c r="F328" s="20"/>
      <c r="G328" s="20"/>
      <c r="H328" s="20"/>
      <c r="I328" s="20"/>
      <c r="J328" s="20"/>
      <c r="K328" s="20"/>
      <c r="L328" s="20"/>
      <c r="M328" s="20"/>
      <c r="N328" s="20"/>
      <c r="O328" s="20"/>
    </row>
    <row r="329" spans="1:15" x14ac:dyDescent="0.25">
      <c r="A329" s="20"/>
      <c r="B329" s="20"/>
      <c r="C329" s="20"/>
      <c r="D329" s="20"/>
      <c r="E329" s="20"/>
      <c r="F329" s="20"/>
      <c r="G329" s="20"/>
      <c r="H329" s="20"/>
      <c r="I329" s="20"/>
      <c r="J329" s="20"/>
      <c r="K329" s="20"/>
      <c r="L329" s="20"/>
      <c r="M329" s="20"/>
      <c r="N329" s="20"/>
      <c r="O329" s="20"/>
    </row>
    <row r="330" spans="1:15" x14ac:dyDescent="0.25">
      <c r="A330" s="20"/>
      <c r="B330" s="20"/>
      <c r="C330" s="20"/>
      <c r="D330" s="20"/>
      <c r="E330" s="20"/>
      <c r="F330" s="20"/>
      <c r="G330" s="20"/>
      <c r="H330" s="20"/>
      <c r="I330" s="20"/>
      <c r="J330" s="20"/>
      <c r="K330" s="20"/>
      <c r="L330" s="20"/>
      <c r="M330" s="20"/>
      <c r="N330" s="20"/>
      <c r="O330" s="20"/>
    </row>
    <row r="331" spans="1:15" x14ac:dyDescent="0.25">
      <c r="A331" s="20"/>
      <c r="B331" s="20"/>
      <c r="C331" s="20"/>
      <c r="D331" s="20"/>
      <c r="E331" s="20"/>
      <c r="F331" s="20"/>
      <c r="G331" s="20"/>
      <c r="H331" s="20"/>
      <c r="I331" s="20"/>
      <c r="J331" s="20"/>
      <c r="K331" s="20"/>
      <c r="L331" s="20"/>
      <c r="M331" s="20"/>
      <c r="N331" s="20"/>
      <c r="O331" s="20"/>
    </row>
    <row r="332" spans="1:15" x14ac:dyDescent="0.25">
      <c r="A332" s="20"/>
      <c r="B332" s="20"/>
      <c r="C332" s="20"/>
      <c r="D332" s="20"/>
      <c r="E332" s="20"/>
      <c r="F332" s="20"/>
      <c r="G332" s="20"/>
      <c r="H332" s="20"/>
      <c r="I332" s="20"/>
      <c r="J332" s="20"/>
      <c r="K332" s="20"/>
      <c r="L332" s="20"/>
      <c r="M332" s="20"/>
      <c r="N332" s="20"/>
      <c r="O332" s="20"/>
    </row>
    <row r="333" spans="1:15" x14ac:dyDescent="0.25">
      <c r="A333" s="20"/>
      <c r="B333" s="20"/>
      <c r="C333" s="20"/>
      <c r="D333" s="20"/>
      <c r="E333" s="20"/>
      <c r="F333" s="20"/>
      <c r="G333" s="20"/>
      <c r="H333" s="20"/>
      <c r="I333" s="20"/>
      <c r="J333" s="20"/>
      <c r="K333" s="20"/>
      <c r="L333" s="20"/>
      <c r="M333" s="20"/>
      <c r="N333" s="20"/>
      <c r="O333" s="20"/>
    </row>
    <row r="334" spans="1:15" x14ac:dyDescent="0.25">
      <c r="A334" s="20"/>
      <c r="B334" s="20"/>
      <c r="C334" s="20"/>
      <c r="D334" s="20"/>
      <c r="E334" s="20"/>
      <c r="F334" s="20"/>
      <c r="G334" s="20"/>
      <c r="H334" s="20"/>
      <c r="I334" s="20"/>
      <c r="J334" s="20"/>
      <c r="K334" s="20"/>
      <c r="L334" s="20"/>
      <c r="M334" s="20"/>
      <c r="N334" s="20"/>
      <c r="O334" s="20"/>
    </row>
    <row r="335" spans="1:15" x14ac:dyDescent="0.25">
      <c r="A335" s="20"/>
      <c r="B335" s="20"/>
      <c r="C335" s="20"/>
      <c r="D335" s="20"/>
      <c r="E335" s="20"/>
      <c r="F335" s="20"/>
      <c r="G335" s="20"/>
      <c r="H335" s="20"/>
      <c r="I335" s="20"/>
      <c r="J335" s="20"/>
      <c r="K335" s="20"/>
      <c r="L335" s="20"/>
      <c r="M335" s="20"/>
      <c r="N335" s="20"/>
      <c r="O335" s="20"/>
    </row>
    <row r="336" spans="1:15" x14ac:dyDescent="0.25">
      <c r="A336" s="20"/>
      <c r="B336" s="20"/>
      <c r="C336" s="20"/>
      <c r="D336" s="20"/>
      <c r="E336" s="20"/>
      <c r="F336" s="20"/>
      <c r="G336" s="20"/>
      <c r="H336" s="20"/>
      <c r="I336" s="20"/>
      <c r="J336" s="20"/>
      <c r="K336" s="20"/>
      <c r="L336" s="20"/>
      <c r="M336" s="20"/>
      <c r="N336" s="20"/>
      <c r="O336" s="20"/>
    </row>
    <row r="337" spans="1:15" x14ac:dyDescent="0.25">
      <c r="A337" s="20"/>
      <c r="B337" s="20"/>
      <c r="C337" s="20"/>
      <c r="D337" s="20"/>
      <c r="E337" s="20"/>
      <c r="F337" s="20"/>
      <c r="G337" s="20"/>
      <c r="H337" s="20"/>
      <c r="I337" s="20"/>
      <c r="J337" s="20"/>
      <c r="K337" s="20"/>
      <c r="L337" s="20"/>
      <c r="M337" s="20"/>
      <c r="N337" s="20"/>
      <c r="O337" s="20"/>
    </row>
    <row r="338" spans="1:15" x14ac:dyDescent="0.25">
      <c r="A338" s="20"/>
      <c r="B338" s="20"/>
      <c r="C338" s="20"/>
      <c r="D338" s="20"/>
      <c r="E338" s="20"/>
      <c r="F338" s="20"/>
      <c r="G338" s="20"/>
      <c r="H338" s="20"/>
      <c r="I338" s="20"/>
      <c r="J338" s="20"/>
      <c r="K338" s="20"/>
      <c r="L338" s="20"/>
      <c r="M338" s="20"/>
      <c r="N338" s="20"/>
      <c r="O338" s="20"/>
    </row>
    <row r="339" spans="1:15" x14ac:dyDescent="0.25">
      <c r="A339" s="20"/>
      <c r="B339" s="20"/>
      <c r="C339" s="20"/>
      <c r="D339" s="20"/>
      <c r="E339" s="20"/>
      <c r="F339" s="20"/>
      <c r="G339" s="20"/>
      <c r="H339" s="20"/>
      <c r="I339" s="20"/>
      <c r="J339" s="20"/>
      <c r="K339" s="20"/>
      <c r="L339" s="20"/>
      <c r="M339" s="20"/>
      <c r="N339" s="20"/>
      <c r="O339" s="20"/>
    </row>
    <row r="340" spans="1:15" x14ac:dyDescent="0.25">
      <c r="A340" s="20"/>
      <c r="B340" s="20"/>
      <c r="C340" s="20"/>
      <c r="D340" s="20"/>
      <c r="E340" s="20"/>
      <c r="F340" s="20"/>
      <c r="G340" s="20"/>
      <c r="H340" s="20"/>
      <c r="I340" s="20"/>
      <c r="J340" s="20"/>
      <c r="K340" s="20"/>
      <c r="L340" s="20"/>
      <c r="M340" s="20"/>
      <c r="N340" s="20"/>
      <c r="O340" s="20"/>
    </row>
    <row r="341" spans="1:15" x14ac:dyDescent="0.25">
      <c r="A341" s="20"/>
      <c r="B341" s="20"/>
      <c r="C341" s="20"/>
      <c r="D341" s="20"/>
      <c r="E341" s="20"/>
      <c r="F341" s="20"/>
      <c r="G341" s="20"/>
      <c r="H341" s="20"/>
      <c r="I341" s="20"/>
      <c r="J341" s="20"/>
      <c r="K341" s="20"/>
      <c r="L341" s="20"/>
      <c r="M341" s="20"/>
      <c r="N341" s="20"/>
      <c r="O341" s="20"/>
    </row>
    <row r="342" spans="1:15" x14ac:dyDescent="0.25">
      <c r="A342" s="20"/>
      <c r="B342" s="20"/>
      <c r="C342" s="20"/>
      <c r="D342" s="20"/>
      <c r="E342" s="20"/>
      <c r="F342" s="20"/>
      <c r="G342" s="20"/>
      <c r="H342" s="20"/>
      <c r="I342" s="20"/>
      <c r="J342" s="20"/>
      <c r="K342" s="20"/>
      <c r="L342" s="20"/>
      <c r="M342" s="20"/>
      <c r="N342" s="20"/>
      <c r="O342" s="20"/>
    </row>
    <row r="343" spans="1:15" x14ac:dyDescent="0.25">
      <c r="A343" s="20"/>
      <c r="B343" s="20"/>
      <c r="C343" s="20"/>
      <c r="D343" s="20"/>
      <c r="E343" s="20"/>
      <c r="F343" s="20"/>
      <c r="G343" s="20"/>
      <c r="H343" s="20"/>
      <c r="I343" s="20"/>
      <c r="J343" s="20"/>
      <c r="K343" s="20"/>
      <c r="L343" s="20"/>
      <c r="M343" s="20"/>
      <c r="N343" s="20"/>
      <c r="O343" s="20"/>
    </row>
    <row r="344" spans="1:15" x14ac:dyDescent="0.25">
      <c r="A344" s="20"/>
      <c r="B344" s="20"/>
      <c r="C344" s="20"/>
      <c r="D344" s="20"/>
      <c r="E344" s="20"/>
      <c r="F344" s="20"/>
      <c r="G344" s="20"/>
      <c r="H344" s="20"/>
      <c r="I344" s="20"/>
      <c r="J344" s="20"/>
      <c r="K344" s="20"/>
      <c r="L344" s="20"/>
      <c r="M344" s="20"/>
      <c r="N344" s="20"/>
      <c r="O344" s="20"/>
    </row>
    <row r="345" spans="1:15" x14ac:dyDescent="0.25">
      <c r="A345" s="20"/>
      <c r="B345" s="20"/>
      <c r="C345" s="20"/>
      <c r="D345" s="20"/>
      <c r="E345" s="20"/>
      <c r="F345" s="20"/>
      <c r="G345" s="20"/>
      <c r="H345" s="20"/>
      <c r="I345" s="20"/>
      <c r="J345" s="20"/>
      <c r="K345" s="20"/>
      <c r="L345" s="20"/>
      <c r="M345" s="20"/>
      <c r="N345" s="20"/>
      <c r="O345" s="20"/>
    </row>
    <row r="346" spans="1:15" x14ac:dyDescent="0.25">
      <c r="A346" s="20"/>
      <c r="B346" s="20"/>
      <c r="C346" s="20"/>
      <c r="D346" s="20"/>
      <c r="E346" s="20"/>
      <c r="F346" s="20"/>
      <c r="G346" s="20"/>
      <c r="H346" s="20"/>
      <c r="I346" s="20"/>
      <c r="J346" s="20"/>
      <c r="K346" s="20"/>
      <c r="L346" s="20"/>
      <c r="M346" s="20"/>
      <c r="N346" s="20"/>
      <c r="O346" s="20"/>
    </row>
    <row r="347" spans="1:15" x14ac:dyDescent="0.25">
      <c r="A347" s="20"/>
      <c r="B347" s="20"/>
      <c r="C347" s="20"/>
      <c r="D347" s="20"/>
      <c r="E347" s="20"/>
      <c r="F347" s="20"/>
      <c r="G347" s="20"/>
      <c r="H347" s="20"/>
      <c r="I347" s="20"/>
      <c r="J347" s="20"/>
      <c r="K347" s="20"/>
      <c r="L347" s="20"/>
      <c r="M347" s="20"/>
      <c r="N347" s="20"/>
      <c r="O347" s="20"/>
    </row>
    <row r="348" spans="1:15" x14ac:dyDescent="0.25">
      <c r="A348" s="20"/>
      <c r="B348" s="20"/>
      <c r="C348" s="20"/>
      <c r="D348" s="20"/>
      <c r="E348" s="20"/>
      <c r="F348" s="20"/>
      <c r="G348" s="20"/>
      <c r="H348" s="20"/>
      <c r="I348" s="20"/>
      <c r="J348" s="20"/>
      <c r="K348" s="20"/>
      <c r="L348" s="20"/>
      <c r="M348" s="20"/>
      <c r="N348" s="20"/>
      <c r="O348" s="20"/>
    </row>
    <row r="349" spans="1:15" x14ac:dyDescent="0.25">
      <c r="A349" s="20"/>
      <c r="B349" s="20"/>
      <c r="C349" s="20"/>
      <c r="D349" s="20"/>
      <c r="E349" s="20"/>
      <c r="F349" s="20"/>
      <c r="G349" s="20"/>
      <c r="H349" s="20"/>
      <c r="I349" s="20"/>
      <c r="J349" s="20"/>
      <c r="K349" s="20"/>
      <c r="L349" s="20"/>
      <c r="M349" s="20"/>
      <c r="N349" s="20"/>
      <c r="O349" s="20"/>
    </row>
    <row r="350" spans="1:15" x14ac:dyDescent="0.25">
      <c r="A350" s="20"/>
      <c r="B350" s="20"/>
      <c r="C350" s="20"/>
      <c r="D350" s="20"/>
      <c r="E350" s="20"/>
      <c r="F350" s="20"/>
      <c r="G350" s="20"/>
      <c r="H350" s="20"/>
      <c r="I350" s="20"/>
      <c r="J350" s="20"/>
      <c r="K350" s="20"/>
      <c r="L350" s="20"/>
      <c r="M350" s="20"/>
      <c r="N350" s="20"/>
      <c r="O350" s="20"/>
    </row>
    <row r="351" spans="1:15" x14ac:dyDescent="0.25">
      <c r="A351" s="20"/>
      <c r="B351" s="20"/>
      <c r="C351" s="20"/>
      <c r="D351" s="20"/>
      <c r="E351" s="20"/>
      <c r="F351" s="20"/>
      <c r="G351" s="20"/>
      <c r="H351" s="20"/>
      <c r="I351" s="20"/>
      <c r="J351" s="20"/>
      <c r="K351" s="20"/>
      <c r="L351" s="20"/>
      <c r="M351" s="20"/>
      <c r="N351" s="20"/>
      <c r="O351" s="20"/>
    </row>
    <row r="352" spans="1:15" x14ac:dyDescent="0.25">
      <c r="A352" s="20"/>
      <c r="B352" s="20"/>
      <c r="C352" s="20"/>
      <c r="D352" s="20"/>
      <c r="E352" s="20"/>
      <c r="F352" s="20"/>
      <c r="G352" s="20"/>
      <c r="H352" s="20"/>
      <c r="I352" s="20"/>
      <c r="J352" s="20"/>
      <c r="K352" s="20"/>
      <c r="L352" s="20"/>
      <c r="M352" s="20"/>
      <c r="N352" s="20"/>
      <c r="O352" s="20"/>
    </row>
    <row r="353" spans="1:15" x14ac:dyDescent="0.25">
      <c r="A353" s="20"/>
      <c r="B353" s="20"/>
      <c r="C353" s="20"/>
      <c r="D353" s="20"/>
      <c r="E353" s="20"/>
      <c r="F353" s="20"/>
      <c r="G353" s="20"/>
      <c r="H353" s="20"/>
      <c r="I353" s="20"/>
      <c r="J353" s="20"/>
      <c r="K353" s="20"/>
      <c r="L353" s="20"/>
      <c r="M353" s="20"/>
      <c r="N353" s="20"/>
      <c r="O353" s="20"/>
    </row>
    <row r="354" spans="1:15" x14ac:dyDescent="0.25">
      <c r="A354" s="20"/>
      <c r="B354" s="20"/>
      <c r="C354" s="20"/>
      <c r="D354" s="20"/>
      <c r="E354" s="20"/>
      <c r="F354" s="20"/>
      <c r="G354" s="20"/>
      <c r="H354" s="20"/>
      <c r="I354" s="20"/>
      <c r="J354" s="20"/>
      <c r="K354" s="20"/>
      <c r="L354" s="20"/>
      <c r="M354" s="20"/>
      <c r="N354" s="20"/>
      <c r="O354" s="20"/>
    </row>
    <row r="355" spans="1:15" x14ac:dyDescent="0.25">
      <c r="A355" s="20"/>
      <c r="B355" s="20"/>
      <c r="C355" s="20"/>
      <c r="D355" s="20"/>
      <c r="E355" s="20"/>
      <c r="F355" s="20"/>
      <c r="G355" s="20"/>
      <c r="H355" s="20"/>
      <c r="I355" s="20"/>
      <c r="J355" s="20"/>
      <c r="K355" s="20"/>
      <c r="L355" s="20"/>
      <c r="M355" s="20"/>
      <c r="N355" s="20"/>
      <c r="O355" s="20"/>
    </row>
    <row r="356" spans="1:15" x14ac:dyDescent="0.25">
      <c r="A356" s="20"/>
      <c r="B356" s="20"/>
      <c r="C356" s="20"/>
      <c r="D356" s="20"/>
      <c r="E356" s="20"/>
      <c r="F356" s="20"/>
      <c r="G356" s="20"/>
      <c r="H356" s="20"/>
      <c r="I356" s="20"/>
      <c r="J356" s="20"/>
      <c r="K356" s="20"/>
      <c r="L356" s="20"/>
      <c r="M356" s="20"/>
      <c r="N356" s="20"/>
      <c r="O356" s="20"/>
    </row>
    <row r="357" spans="1:15" x14ac:dyDescent="0.25">
      <c r="A357" s="20"/>
      <c r="B357" s="20"/>
      <c r="C357" s="20"/>
      <c r="D357" s="20"/>
      <c r="E357" s="20"/>
      <c r="F357" s="20"/>
      <c r="G357" s="20"/>
      <c r="H357" s="20"/>
      <c r="I357" s="20"/>
      <c r="J357" s="20"/>
      <c r="K357" s="20"/>
      <c r="L357" s="20"/>
      <c r="M357" s="20"/>
      <c r="N357" s="20"/>
      <c r="O357" s="20"/>
    </row>
    <row r="358" spans="1:15" x14ac:dyDescent="0.25">
      <c r="A358" s="20"/>
      <c r="B358" s="20"/>
      <c r="C358" s="20"/>
      <c r="D358" s="20"/>
      <c r="E358" s="20"/>
      <c r="F358" s="20"/>
      <c r="G358" s="20"/>
      <c r="H358" s="20"/>
      <c r="I358" s="20"/>
      <c r="J358" s="20"/>
      <c r="K358" s="20"/>
      <c r="L358" s="20"/>
      <c r="M358" s="20"/>
      <c r="N358" s="20"/>
      <c r="O358" s="20"/>
    </row>
    <row r="359" spans="1:15" x14ac:dyDescent="0.25">
      <c r="A359" s="20"/>
      <c r="B359" s="20"/>
      <c r="C359" s="20"/>
      <c r="D359" s="20"/>
      <c r="E359" s="20"/>
      <c r="F359" s="20"/>
      <c r="G359" s="20"/>
      <c r="H359" s="20"/>
      <c r="I359" s="20"/>
      <c r="J359" s="20"/>
      <c r="K359" s="20"/>
      <c r="L359" s="20"/>
      <c r="M359" s="20"/>
      <c r="N359" s="20"/>
      <c r="O359" s="20"/>
    </row>
    <row r="360" spans="1:15" x14ac:dyDescent="0.25">
      <c r="A360" s="20"/>
      <c r="B360" s="20"/>
      <c r="C360" s="20"/>
      <c r="D360" s="20"/>
      <c r="E360" s="20"/>
      <c r="F360" s="20"/>
      <c r="G360" s="20"/>
      <c r="H360" s="20"/>
      <c r="I360" s="20"/>
      <c r="J360" s="20"/>
      <c r="K360" s="20"/>
      <c r="L360" s="20"/>
      <c r="M360" s="20"/>
      <c r="N360" s="20"/>
      <c r="O360" s="20"/>
    </row>
    <row r="361" spans="1:15" x14ac:dyDescent="0.25">
      <c r="A361" s="20"/>
      <c r="B361" s="20"/>
      <c r="C361" s="20"/>
      <c r="D361" s="20"/>
      <c r="E361" s="20"/>
      <c r="F361" s="20"/>
      <c r="G361" s="20"/>
      <c r="H361" s="20"/>
      <c r="I361" s="20"/>
      <c r="J361" s="20"/>
      <c r="K361" s="20"/>
      <c r="L361" s="20"/>
      <c r="M361" s="20"/>
      <c r="N361" s="20"/>
      <c r="O361" s="20"/>
    </row>
    <row r="362" spans="1:15" x14ac:dyDescent="0.25">
      <c r="A362" s="20"/>
      <c r="B362" s="20"/>
      <c r="C362" s="20"/>
      <c r="D362" s="20"/>
      <c r="E362" s="20"/>
      <c r="F362" s="20"/>
      <c r="G362" s="20"/>
      <c r="H362" s="20"/>
      <c r="I362" s="20"/>
      <c r="J362" s="20"/>
      <c r="K362" s="20"/>
      <c r="L362" s="20"/>
      <c r="M362" s="20"/>
      <c r="N362" s="20"/>
      <c r="O362" s="20"/>
    </row>
    <row r="363" spans="1:15" x14ac:dyDescent="0.25">
      <c r="A363" s="20"/>
      <c r="B363" s="20"/>
      <c r="C363" s="20"/>
      <c r="D363" s="20"/>
      <c r="E363" s="20"/>
      <c r="F363" s="20"/>
      <c r="G363" s="20"/>
      <c r="H363" s="20"/>
      <c r="I363" s="20"/>
      <c r="J363" s="20"/>
      <c r="K363" s="20"/>
      <c r="L363" s="20"/>
      <c r="M363" s="20"/>
      <c r="N363" s="20"/>
      <c r="O363" s="20"/>
    </row>
    <row r="364" spans="1:15" x14ac:dyDescent="0.25">
      <c r="A364" s="20"/>
      <c r="B364" s="20"/>
      <c r="C364" s="20"/>
      <c r="D364" s="20"/>
      <c r="E364" s="20"/>
      <c r="F364" s="20"/>
      <c r="G364" s="20"/>
      <c r="H364" s="20"/>
      <c r="I364" s="20"/>
      <c r="J364" s="20"/>
      <c r="K364" s="20"/>
      <c r="L364" s="20"/>
      <c r="M364" s="20"/>
      <c r="N364" s="20"/>
      <c r="O364" s="20"/>
    </row>
    <row r="365" spans="1:15" x14ac:dyDescent="0.25">
      <c r="A365" s="20"/>
      <c r="B365" s="20"/>
      <c r="C365" s="20"/>
      <c r="D365" s="20"/>
      <c r="E365" s="20"/>
      <c r="F365" s="20"/>
      <c r="G365" s="20"/>
      <c r="H365" s="20"/>
      <c r="I365" s="20"/>
      <c r="J365" s="20"/>
      <c r="K365" s="20"/>
      <c r="L365" s="20"/>
      <c r="M365" s="20"/>
      <c r="N365" s="20"/>
      <c r="O365" s="20"/>
    </row>
    <row r="366" spans="1:15" x14ac:dyDescent="0.25">
      <c r="A366" s="20"/>
      <c r="B366" s="20"/>
      <c r="C366" s="20"/>
      <c r="D366" s="20"/>
      <c r="E366" s="20"/>
      <c r="F366" s="20"/>
      <c r="G366" s="20"/>
      <c r="H366" s="20"/>
      <c r="I366" s="20"/>
      <c r="J366" s="20"/>
      <c r="K366" s="20"/>
      <c r="L366" s="20"/>
      <c r="M366" s="20"/>
      <c r="N366" s="20"/>
      <c r="O366" s="20"/>
    </row>
    <row r="367" spans="1:15" x14ac:dyDescent="0.25">
      <c r="A367" s="20"/>
      <c r="B367" s="20"/>
      <c r="C367" s="20"/>
      <c r="D367" s="20"/>
      <c r="E367" s="20"/>
      <c r="F367" s="20"/>
      <c r="G367" s="20"/>
      <c r="H367" s="20"/>
      <c r="I367" s="20"/>
      <c r="J367" s="20"/>
      <c r="K367" s="20"/>
      <c r="L367" s="20"/>
      <c r="M367" s="20"/>
      <c r="N367" s="20"/>
      <c r="O367" s="20"/>
    </row>
    <row r="368" spans="1:15" x14ac:dyDescent="0.25">
      <c r="A368" s="20"/>
      <c r="B368" s="20"/>
      <c r="C368" s="20"/>
      <c r="D368" s="20"/>
      <c r="E368" s="20"/>
      <c r="F368" s="20"/>
      <c r="G368" s="20"/>
      <c r="H368" s="20"/>
      <c r="I368" s="20"/>
      <c r="J368" s="20"/>
      <c r="K368" s="20"/>
      <c r="L368" s="20"/>
      <c r="M368" s="20"/>
      <c r="N368" s="20"/>
      <c r="O368" s="20"/>
    </row>
    <row r="369" spans="1:15" x14ac:dyDescent="0.25">
      <c r="A369" s="20"/>
      <c r="B369" s="20"/>
      <c r="C369" s="20"/>
      <c r="D369" s="20"/>
      <c r="E369" s="20"/>
      <c r="F369" s="20"/>
      <c r="G369" s="20"/>
      <c r="H369" s="20"/>
      <c r="I369" s="20"/>
      <c r="J369" s="20"/>
      <c r="K369" s="20"/>
      <c r="L369" s="20"/>
      <c r="M369" s="20"/>
      <c r="N369" s="20"/>
      <c r="O369" s="20"/>
    </row>
    <row r="370" spans="1:15" x14ac:dyDescent="0.25">
      <c r="A370" s="20"/>
      <c r="B370" s="20"/>
      <c r="C370" s="20"/>
      <c r="D370" s="20"/>
      <c r="E370" s="20"/>
      <c r="F370" s="20"/>
      <c r="G370" s="20"/>
      <c r="H370" s="20"/>
      <c r="I370" s="20"/>
      <c r="J370" s="20"/>
      <c r="K370" s="20"/>
      <c r="L370" s="20"/>
      <c r="M370" s="20"/>
      <c r="N370" s="20"/>
      <c r="O370" s="20"/>
    </row>
    <row r="371" spans="1:15" x14ac:dyDescent="0.25">
      <c r="A371" s="20"/>
      <c r="B371" s="20"/>
      <c r="C371" s="20"/>
      <c r="D371" s="20"/>
      <c r="E371" s="20"/>
      <c r="F371" s="20"/>
      <c r="G371" s="20"/>
      <c r="H371" s="20"/>
      <c r="I371" s="20"/>
      <c r="J371" s="20"/>
      <c r="K371" s="20"/>
      <c r="L371" s="20"/>
      <c r="M371" s="20"/>
      <c r="N371" s="20"/>
      <c r="O371" s="20"/>
    </row>
    <row r="372" spans="1:15" x14ac:dyDescent="0.25">
      <c r="A372" s="20"/>
      <c r="B372" s="20"/>
      <c r="C372" s="20"/>
      <c r="D372" s="20"/>
      <c r="E372" s="20"/>
      <c r="F372" s="20"/>
      <c r="G372" s="20"/>
      <c r="H372" s="20"/>
      <c r="I372" s="20"/>
      <c r="J372" s="20"/>
      <c r="K372" s="20"/>
      <c r="L372" s="20"/>
      <c r="M372" s="20"/>
      <c r="N372" s="20"/>
      <c r="O372" s="20"/>
    </row>
    <row r="373" spans="1:15" x14ac:dyDescent="0.25">
      <c r="A373" s="20"/>
      <c r="B373" s="20"/>
      <c r="C373" s="20"/>
      <c r="D373" s="20"/>
      <c r="E373" s="20"/>
      <c r="F373" s="20"/>
      <c r="G373" s="20"/>
      <c r="H373" s="20"/>
      <c r="I373" s="20"/>
      <c r="J373" s="20"/>
      <c r="K373" s="20"/>
      <c r="L373" s="20"/>
      <c r="M373" s="20"/>
      <c r="N373" s="20"/>
      <c r="O373" s="20"/>
    </row>
    <row r="374" spans="1:15" x14ac:dyDescent="0.25">
      <c r="A374" s="20"/>
      <c r="B374" s="20"/>
      <c r="C374" s="20"/>
      <c r="D374" s="20"/>
      <c r="E374" s="20"/>
      <c r="F374" s="20"/>
      <c r="G374" s="20"/>
      <c r="H374" s="20"/>
      <c r="I374" s="20"/>
      <c r="J374" s="20"/>
      <c r="K374" s="20"/>
      <c r="L374" s="20"/>
      <c r="M374" s="20"/>
      <c r="N374" s="20"/>
      <c r="O374" s="20"/>
    </row>
    <row r="375" spans="1:15" x14ac:dyDescent="0.25">
      <c r="A375" s="20"/>
      <c r="B375" s="20"/>
      <c r="C375" s="20"/>
      <c r="D375" s="20"/>
      <c r="E375" s="20"/>
      <c r="F375" s="20"/>
      <c r="G375" s="20"/>
      <c r="H375" s="20"/>
      <c r="I375" s="20"/>
      <c r="J375" s="20"/>
      <c r="K375" s="20"/>
      <c r="L375" s="20"/>
      <c r="M375" s="20"/>
      <c r="N375" s="20"/>
      <c r="O375" s="20"/>
    </row>
    <row r="376" spans="1:15" x14ac:dyDescent="0.25">
      <c r="A376" s="20"/>
      <c r="B376" s="20"/>
      <c r="C376" s="20"/>
      <c r="D376" s="20"/>
      <c r="E376" s="20"/>
      <c r="F376" s="20"/>
      <c r="G376" s="20"/>
      <c r="H376" s="20"/>
      <c r="I376" s="20"/>
      <c r="J376" s="20"/>
      <c r="K376" s="20"/>
      <c r="L376" s="20"/>
      <c r="M376" s="20"/>
      <c r="N376" s="20"/>
      <c r="O376" s="20"/>
    </row>
    <row r="377" spans="1:15" x14ac:dyDescent="0.25">
      <c r="A377" s="20"/>
      <c r="B377" s="20"/>
      <c r="C377" s="20"/>
      <c r="D377" s="20"/>
      <c r="E377" s="20"/>
      <c r="F377" s="20"/>
      <c r="G377" s="20"/>
      <c r="H377" s="20"/>
      <c r="I377" s="20"/>
      <c r="J377" s="20"/>
      <c r="K377" s="20"/>
      <c r="L377" s="20"/>
      <c r="M377" s="20"/>
      <c r="N377" s="20"/>
      <c r="O377" s="20"/>
    </row>
    <row r="378" spans="1:15" x14ac:dyDescent="0.25">
      <c r="A378" s="20"/>
      <c r="B378" s="20"/>
      <c r="C378" s="20"/>
      <c r="D378" s="20"/>
      <c r="E378" s="20"/>
      <c r="F378" s="20"/>
      <c r="G378" s="20"/>
      <c r="H378" s="20"/>
      <c r="I378" s="20"/>
      <c r="J378" s="20"/>
      <c r="K378" s="20"/>
      <c r="L378" s="20"/>
      <c r="M378" s="20"/>
      <c r="N378" s="20"/>
      <c r="O378" s="20"/>
    </row>
    <row r="379" spans="1:15" x14ac:dyDescent="0.25">
      <c r="A379" s="20"/>
      <c r="B379" s="20"/>
      <c r="C379" s="20"/>
      <c r="D379" s="20"/>
      <c r="E379" s="20"/>
      <c r="F379" s="20"/>
      <c r="G379" s="20"/>
      <c r="H379" s="20"/>
      <c r="I379" s="20"/>
      <c r="J379" s="20"/>
      <c r="K379" s="20"/>
      <c r="L379" s="20"/>
      <c r="M379" s="20"/>
      <c r="N379" s="20"/>
      <c r="O379" s="20"/>
    </row>
    <row r="380" spans="1:15" x14ac:dyDescent="0.25">
      <c r="A380" s="20"/>
      <c r="B380" s="20"/>
      <c r="C380" s="20"/>
      <c r="D380" s="20"/>
      <c r="E380" s="20"/>
      <c r="F380" s="20"/>
      <c r="G380" s="20"/>
      <c r="H380" s="20"/>
      <c r="I380" s="20"/>
      <c r="J380" s="20"/>
      <c r="K380" s="20"/>
      <c r="L380" s="20"/>
      <c r="M380" s="20"/>
      <c r="N380" s="20"/>
      <c r="O380" s="20"/>
    </row>
    <row r="381" spans="1:15" x14ac:dyDescent="0.25">
      <c r="A381" s="20"/>
      <c r="B381" s="20"/>
      <c r="C381" s="20"/>
      <c r="D381" s="20"/>
      <c r="E381" s="20"/>
      <c r="F381" s="20"/>
      <c r="G381" s="20"/>
      <c r="H381" s="20"/>
      <c r="I381" s="20"/>
      <c r="J381" s="20"/>
      <c r="K381" s="20"/>
      <c r="L381" s="20"/>
      <c r="M381" s="20"/>
      <c r="N381" s="20"/>
      <c r="O381" s="20"/>
    </row>
    <row r="382" spans="1:15" x14ac:dyDescent="0.25">
      <c r="A382" s="20"/>
      <c r="B382" s="20"/>
      <c r="C382" s="20"/>
      <c r="D382" s="20"/>
      <c r="E382" s="20"/>
      <c r="F382" s="20"/>
      <c r="G382" s="20"/>
      <c r="H382" s="20"/>
      <c r="I382" s="20"/>
      <c r="J382" s="20"/>
      <c r="K382" s="20"/>
      <c r="L382" s="20"/>
      <c r="M382" s="20"/>
      <c r="N382" s="20"/>
      <c r="O382" s="20"/>
    </row>
    <row r="383" spans="1:15" x14ac:dyDescent="0.25">
      <c r="A383" s="20"/>
      <c r="B383" s="20"/>
      <c r="C383" s="20"/>
      <c r="D383" s="20"/>
      <c r="E383" s="20"/>
      <c r="F383" s="20"/>
      <c r="G383" s="20"/>
      <c r="H383" s="20"/>
      <c r="I383" s="20"/>
      <c r="J383" s="20"/>
      <c r="K383" s="20"/>
      <c r="L383" s="20"/>
      <c r="M383" s="20"/>
      <c r="N383" s="20"/>
      <c r="O383" s="20"/>
    </row>
    <row r="384" spans="1:15" x14ac:dyDescent="0.25">
      <c r="A384" s="20"/>
      <c r="B384" s="20"/>
      <c r="C384" s="20"/>
      <c r="D384" s="20"/>
      <c r="E384" s="20"/>
      <c r="F384" s="20"/>
      <c r="G384" s="20"/>
      <c r="H384" s="20"/>
      <c r="I384" s="20"/>
      <c r="J384" s="20"/>
      <c r="K384" s="20"/>
      <c r="L384" s="20"/>
      <c r="M384" s="20"/>
      <c r="N384" s="20"/>
      <c r="O384" s="20"/>
    </row>
    <row r="385" spans="1:15" x14ac:dyDescent="0.25">
      <c r="A385" s="20"/>
      <c r="B385" s="20"/>
      <c r="C385" s="20"/>
      <c r="D385" s="20"/>
      <c r="E385" s="20"/>
      <c r="F385" s="20"/>
      <c r="G385" s="20"/>
      <c r="H385" s="20"/>
      <c r="I385" s="20"/>
      <c r="J385" s="20"/>
      <c r="K385" s="20"/>
      <c r="L385" s="20"/>
      <c r="M385" s="20"/>
      <c r="N385" s="20"/>
      <c r="O385" s="20"/>
    </row>
    <row r="386" spans="1:15" x14ac:dyDescent="0.25">
      <c r="A386" s="20"/>
      <c r="B386" s="20"/>
      <c r="C386" s="20"/>
      <c r="D386" s="20"/>
      <c r="E386" s="20"/>
      <c r="F386" s="20"/>
      <c r="G386" s="20"/>
      <c r="H386" s="20"/>
      <c r="I386" s="20"/>
      <c r="J386" s="20"/>
      <c r="K386" s="20"/>
      <c r="L386" s="20"/>
      <c r="M386" s="20"/>
      <c r="N386" s="20"/>
      <c r="O386" s="20"/>
    </row>
  </sheetData>
  <sheetProtection password="E593" sheet="1" objects="1" scenarios="1"/>
  <mergeCells count="9">
    <mergeCell ref="F49:J56"/>
    <mergeCell ref="F62:J67"/>
    <mergeCell ref="F72:J75"/>
    <mergeCell ref="B23:E23"/>
    <mergeCell ref="E4:J4"/>
    <mergeCell ref="E5:J5"/>
    <mergeCell ref="F13:J21"/>
    <mergeCell ref="F25:J31"/>
    <mergeCell ref="F37:J43"/>
  </mergeCells>
  <pageMargins left="0.7" right="0.7" top="0.75" bottom="0.75" header="0.3" footer="0.3"/>
  <pageSetup scale="59" orientation="portrait" r:id="rId1"/>
  <rowBreaks count="1" manualBreakCount="1">
    <brk id="4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1011" r:id="rId4" name="Button 3">
              <controlPr defaultSize="0" print="0" autoFill="0" autoPict="0" macro="[0]!BackMain">
                <anchor moveWithCells="1" sizeWithCells="1">
                  <from>
                    <xdr:col>12</xdr:col>
                    <xdr:colOff>129540</xdr:colOff>
                    <xdr:row>78</xdr:row>
                    <xdr:rowOff>152400</xdr:rowOff>
                  </from>
                  <to>
                    <xdr:col>14</xdr:col>
                    <xdr:colOff>7620</xdr:colOff>
                    <xdr:row>81</xdr:row>
                    <xdr:rowOff>160020</xdr:rowOff>
                  </to>
                </anchor>
              </controlPr>
            </control>
          </mc:Choice>
        </mc:AlternateContent>
        <mc:AlternateContent xmlns:mc="http://schemas.openxmlformats.org/markup-compatibility/2006">
          <mc:Choice Requires="x14">
            <control shapeId="171012" r:id="rId5" name="Button 4">
              <controlPr defaultSize="0" print="0" autoFill="0" autoPict="0" macro="[0]!BackMain">
                <anchor moveWithCells="1" sizeWithCells="1">
                  <from>
                    <xdr:col>1</xdr:col>
                    <xdr:colOff>7620</xdr:colOff>
                    <xdr:row>0</xdr:row>
                    <xdr:rowOff>68580</xdr:rowOff>
                  </from>
                  <to>
                    <xdr:col>2</xdr:col>
                    <xdr:colOff>289560</xdr:colOff>
                    <xdr:row>2</xdr:row>
                    <xdr:rowOff>45720</xdr:rowOff>
                  </to>
                </anchor>
              </controlPr>
            </control>
          </mc:Choice>
        </mc:AlternateContent>
        <mc:AlternateContent xmlns:mc="http://schemas.openxmlformats.org/markup-compatibility/2006">
          <mc:Choice Requires="x14">
            <control shapeId="171013" r:id="rId6" name="Button 5">
              <controlPr defaultSize="0" print="0" autoFill="0" autoPict="0" macro="[0]!PrintRatemakingGoals">
                <anchor moveWithCells="1" sizeWithCells="1">
                  <from>
                    <xdr:col>9</xdr:col>
                    <xdr:colOff>647700</xdr:colOff>
                    <xdr:row>0</xdr:row>
                    <xdr:rowOff>137160</xdr:rowOff>
                  </from>
                  <to>
                    <xdr:col>14</xdr:col>
                    <xdr:colOff>0</xdr:colOff>
                    <xdr:row>2</xdr:row>
                    <xdr:rowOff>99060</xdr:rowOff>
                  </to>
                </anchor>
              </controlPr>
            </control>
          </mc:Choice>
        </mc:AlternateContent>
        <mc:AlternateContent xmlns:mc="http://schemas.openxmlformats.org/markup-compatibility/2006">
          <mc:Choice Requires="x14">
            <control shapeId="171014" r:id="rId7" name="Check Box 6">
              <controlPr defaultSize="0" autoFill="0" autoLine="0" autoPict="0">
                <anchor moveWithCells="1">
                  <from>
                    <xdr:col>2</xdr:col>
                    <xdr:colOff>220980</xdr:colOff>
                    <xdr:row>8</xdr:row>
                    <xdr:rowOff>182880</xdr:rowOff>
                  </from>
                  <to>
                    <xdr:col>3</xdr:col>
                    <xdr:colOff>1112520</xdr:colOff>
                    <xdr:row>10</xdr:row>
                    <xdr:rowOff>30480</xdr:rowOff>
                  </to>
                </anchor>
              </controlPr>
            </control>
          </mc:Choice>
        </mc:AlternateContent>
        <mc:AlternateContent xmlns:mc="http://schemas.openxmlformats.org/markup-compatibility/2006">
          <mc:Choice Requires="x14">
            <control shapeId="171015" r:id="rId8" name="Check Box 7">
              <controlPr defaultSize="0" autoFill="0" autoLine="0" autoPict="0">
                <anchor moveWithCells="1">
                  <from>
                    <xdr:col>2</xdr:col>
                    <xdr:colOff>236220</xdr:colOff>
                    <xdr:row>9</xdr:row>
                    <xdr:rowOff>190500</xdr:rowOff>
                  </from>
                  <to>
                    <xdr:col>3</xdr:col>
                    <xdr:colOff>944880</xdr:colOff>
                    <xdr:row>10</xdr:row>
                    <xdr:rowOff>190500</xdr:rowOff>
                  </to>
                </anchor>
              </controlPr>
            </control>
          </mc:Choice>
        </mc:AlternateContent>
        <mc:AlternateContent xmlns:mc="http://schemas.openxmlformats.org/markup-compatibility/2006">
          <mc:Choice Requires="x14">
            <control shapeId="171016" r:id="rId9" name="Check Box 8">
              <controlPr defaultSize="0" autoFill="0" autoLine="0" autoPict="0">
                <anchor moveWithCells="1">
                  <from>
                    <xdr:col>2</xdr:col>
                    <xdr:colOff>236220</xdr:colOff>
                    <xdr:row>10</xdr:row>
                    <xdr:rowOff>190500</xdr:rowOff>
                  </from>
                  <to>
                    <xdr:col>3</xdr:col>
                    <xdr:colOff>1082040</xdr:colOff>
                    <xdr:row>11</xdr:row>
                    <xdr:rowOff>190500</xdr:rowOff>
                  </to>
                </anchor>
              </controlPr>
            </control>
          </mc:Choice>
        </mc:AlternateContent>
        <mc:AlternateContent xmlns:mc="http://schemas.openxmlformats.org/markup-compatibility/2006">
          <mc:Choice Requires="x14">
            <control shapeId="171017" r:id="rId10" name="Check Box 9">
              <controlPr defaultSize="0" autoFill="0" autoLine="0" autoPict="0">
                <anchor moveWithCells="1">
                  <from>
                    <xdr:col>2</xdr:col>
                    <xdr:colOff>236220</xdr:colOff>
                    <xdr:row>12</xdr:row>
                    <xdr:rowOff>0</xdr:rowOff>
                  </from>
                  <to>
                    <xdr:col>3</xdr:col>
                    <xdr:colOff>929640</xdr:colOff>
                    <xdr:row>13</xdr:row>
                    <xdr:rowOff>15240</xdr:rowOff>
                  </to>
                </anchor>
              </controlPr>
            </control>
          </mc:Choice>
        </mc:AlternateContent>
        <mc:AlternateContent xmlns:mc="http://schemas.openxmlformats.org/markup-compatibility/2006">
          <mc:Choice Requires="x14">
            <control shapeId="171055" r:id="rId11" name="Check Box 47">
              <controlPr defaultSize="0" autoFill="0" autoLine="0" autoPict="0">
                <anchor moveWithCells="1">
                  <from>
                    <xdr:col>3</xdr:col>
                    <xdr:colOff>1607820</xdr:colOff>
                    <xdr:row>22</xdr:row>
                    <xdr:rowOff>167640</xdr:rowOff>
                  </from>
                  <to>
                    <xdr:col>5</xdr:col>
                    <xdr:colOff>335280</xdr:colOff>
                    <xdr:row>24</xdr:row>
                    <xdr:rowOff>7620</xdr:rowOff>
                  </to>
                </anchor>
              </controlPr>
            </control>
          </mc:Choice>
        </mc:AlternateContent>
        <mc:AlternateContent xmlns:mc="http://schemas.openxmlformats.org/markup-compatibility/2006">
          <mc:Choice Requires="x14">
            <control shapeId="171056" r:id="rId12" name="Check Box 48">
              <controlPr defaultSize="0" autoFill="0" autoLine="0" autoPict="0">
                <anchor moveWithCells="1">
                  <from>
                    <xdr:col>3</xdr:col>
                    <xdr:colOff>1584960</xdr:colOff>
                    <xdr:row>23</xdr:row>
                    <xdr:rowOff>167640</xdr:rowOff>
                  </from>
                  <to>
                    <xdr:col>5</xdr:col>
                    <xdr:colOff>335280</xdr:colOff>
                    <xdr:row>25</xdr:row>
                    <xdr:rowOff>7620</xdr:rowOff>
                  </to>
                </anchor>
              </controlPr>
            </control>
          </mc:Choice>
        </mc:AlternateContent>
        <mc:AlternateContent xmlns:mc="http://schemas.openxmlformats.org/markup-compatibility/2006">
          <mc:Choice Requires="x14">
            <control shapeId="171057" r:id="rId13" name="Check Box 49">
              <controlPr defaultSize="0" autoFill="0" autoLine="0" autoPict="0">
                <anchor moveWithCells="1">
                  <from>
                    <xdr:col>3</xdr:col>
                    <xdr:colOff>1584960</xdr:colOff>
                    <xdr:row>24</xdr:row>
                    <xdr:rowOff>152400</xdr:rowOff>
                  </from>
                  <to>
                    <xdr:col>5</xdr:col>
                    <xdr:colOff>335280</xdr:colOff>
                    <xdr:row>26</xdr:row>
                    <xdr:rowOff>7620</xdr:rowOff>
                  </to>
                </anchor>
              </controlPr>
            </control>
          </mc:Choice>
        </mc:AlternateContent>
        <mc:AlternateContent xmlns:mc="http://schemas.openxmlformats.org/markup-compatibility/2006">
          <mc:Choice Requires="x14">
            <control shapeId="171058" r:id="rId14" name="Check Box 50">
              <controlPr defaultSize="0" autoFill="0" autoLine="0" autoPict="0">
                <anchor moveWithCells="1">
                  <from>
                    <xdr:col>3</xdr:col>
                    <xdr:colOff>1584960</xdr:colOff>
                    <xdr:row>25</xdr:row>
                    <xdr:rowOff>175260</xdr:rowOff>
                  </from>
                  <to>
                    <xdr:col>5</xdr:col>
                    <xdr:colOff>335280</xdr:colOff>
                    <xdr:row>27</xdr:row>
                    <xdr:rowOff>22860</xdr:rowOff>
                  </to>
                </anchor>
              </controlPr>
            </control>
          </mc:Choice>
        </mc:AlternateContent>
        <mc:AlternateContent xmlns:mc="http://schemas.openxmlformats.org/markup-compatibility/2006">
          <mc:Choice Requires="x14">
            <control shapeId="171059" r:id="rId15" name="Check Box 51">
              <controlPr defaultSize="0" autoFill="0" autoLine="0" autoPict="0">
                <anchor moveWithCells="1">
                  <from>
                    <xdr:col>3</xdr:col>
                    <xdr:colOff>1584960</xdr:colOff>
                    <xdr:row>27</xdr:row>
                    <xdr:rowOff>167640</xdr:rowOff>
                  </from>
                  <to>
                    <xdr:col>5</xdr:col>
                    <xdr:colOff>335280</xdr:colOff>
                    <xdr:row>29</xdr:row>
                    <xdr:rowOff>22860</xdr:rowOff>
                  </to>
                </anchor>
              </controlPr>
            </control>
          </mc:Choice>
        </mc:AlternateContent>
        <mc:AlternateContent xmlns:mc="http://schemas.openxmlformats.org/markup-compatibility/2006">
          <mc:Choice Requires="x14">
            <control shapeId="171060" r:id="rId16" name="Check Box 52">
              <controlPr defaultSize="0" autoFill="0" autoLine="0" autoPict="0">
                <anchor moveWithCells="1">
                  <from>
                    <xdr:col>3</xdr:col>
                    <xdr:colOff>1607820</xdr:colOff>
                    <xdr:row>26</xdr:row>
                    <xdr:rowOff>160020</xdr:rowOff>
                  </from>
                  <to>
                    <xdr:col>5</xdr:col>
                    <xdr:colOff>335280</xdr:colOff>
                    <xdr:row>28</xdr:row>
                    <xdr:rowOff>7620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T336"/>
  <sheetViews>
    <sheetView showGridLines="0" zoomScaleNormal="100" workbookViewId="0">
      <selection activeCell="D12" sqref="D12:M12"/>
    </sheetView>
  </sheetViews>
  <sheetFormatPr defaultColWidth="9.109375" defaultRowHeight="13.2" x14ac:dyDescent="0.25"/>
  <cols>
    <col min="1" max="1" width="9.109375" style="16"/>
    <col min="2" max="2" width="8.6640625" style="16" customWidth="1"/>
    <col min="3" max="10" width="9.109375" style="16"/>
    <col min="11" max="11" width="8.6640625" style="16" customWidth="1"/>
    <col min="12" max="12" width="14.6640625" style="16" customWidth="1"/>
    <col min="13" max="13" width="15.6640625" style="16" customWidth="1"/>
    <col min="14" max="15" width="3.6640625" style="16" customWidth="1"/>
    <col min="16" max="16" width="10.88671875" style="16" customWidth="1"/>
    <col min="17" max="17" width="9.109375" style="16"/>
    <col min="18" max="18" width="9.109375" style="20"/>
    <col min="19" max="16384" width="9.109375" style="16"/>
  </cols>
  <sheetData>
    <row r="1" spans="1:20" ht="16.95" customHeight="1" x14ac:dyDescent="0.25">
      <c r="A1" s="906"/>
      <c r="B1" s="299"/>
      <c r="C1" s="299"/>
      <c r="D1" s="299"/>
      <c r="E1" s="299"/>
      <c r="F1" s="299"/>
      <c r="G1" s="299"/>
      <c r="H1" s="299"/>
      <c r="I1" s="299"/>
      <c r="J1" s="299"/>
      <c r="K1" s="299"/>
      <c r="L1" s="299"/>
      <c r="M1" s="299"/>
      <c r="N1" s="299"/>
      <c r="O1" s="299"/>
      <c r="P1" s="906"/>
      <c r="Q1" s="906"/>
    </row>
    <row r="2" spans="1:20" ht="12.75" customHeight="1" x14ac:dyDescent="0.25">
      <c r="A2" s="906"/>
      <c r="B2" s="299"/>
      <c r="C2" s="299"/>
      <c r="D2" s="299"/>
      <c r="E2" s="906"/>
      <c r="F2" s="906"/>
      <c r="G2" s="906"/>
      <c r="H2" s="906"/>
      <c r="I2" s="906"/>
      <c r="J2" s="906"/>
      <c r="K2" s="906"/>
      <c r="L2" s="299"/>
      <c r="M2" s="299"/>
      <c r="N2" s="299"/>
      <c r="O2" s="299"/>
      <c r="P2" s="906"/>
      <c r="Q2" s="906"/>
    </row>
    <row r="3" spans="1:20" ht="11.4" customHeight="1" x14ac:dyDescent="0.25">
      <c r="A3" s="906"/>
      <c r="B3" s="299"/>
      <c r="C3" s="299"/>
      <c r="D3" s="299"/>
      <c r="E3" s="907"/>
      <c r="F3" s="907"/>
      <c r="G3" s="907"/>
      <c r="H3" s="907"/>
      <c r="I3" s="907"/>
      <c r="J3" s="299"/>
      <c r="K3" s="299"/>
      <c r="L3" s="299"/>
      <c r="M3" s="299"/>
      <c r="N3" s="299"/>
      <c r="O3" s="299"/>
      <c r="P3" s="906"/>
      <c r="Q3" s="906"/>
    </row>
    <row r="4" spans="1:20" ht="15.45" customHeight="1" x14ac:dyDescent="0.25">
      <c r="A4" s="906"/>
      <c r="B4" s="299"/>
      <c r="C4" s="299"/>
      <c r="D4" s="299"/>
      <c r="E4" s="2303" t="str">
        <f>Utility</f>
        <v>Cleveland Water Utility</v>
      </c>
      <c r="F4" s="2303"/>
      <c r="G4" s="2303"/>
      <c r="H4" s="2303"/>
      <c r="I4" s="2303"/>
      <c r="J4" s="2303"/>
      <c r="K4" s="2303"/>
      <c r="L4" s="2303"/>
      <c r="M4" s="2303"/>
      <c r="N4" s="299"/>
      <c r="O4" s="299"/>
      <c r="P4" s="906"/>
      <c r="Q4" s="906"/>
    </row>
    <row r="5" spans="1:20" ht="17.7" customHeight="1" x14ac:dyDescent="0.25">
      <c r="A5" s="906"/>
      <c r="B5" s="81" t="str">
        <f>TestYear &amp; " Test Year"</f>
        <v>2023 Test Year</v>
      </c>
      <c r="C5" s="299"/>
      <c r="D5" s="299"/>
      <c r="E5" s="2304" t="s">
        <v>147</v>
      </c>
      <c r="F5" s="2304"/>
      <c r="G5" s="2304"/>
      <c r="H5" s="2304"/>
      <c r="I5" s="2304"/>
      <c r="J5" s="2304"/>
      <c r="K5" s="2304"/>
      <c r="L5" s="2304"/>
      <c r="M5" s="2304"/>
      <c r="N5" s="299"/>
      <c r="O5" s="299"/>
      <c r="P5" s="906"/>
      <c r="Q5" s="906"/>
    </row>
    <row r="6" spans="1:20" ht="11.25" customHeight="1" thickBot="1" x14ac:dyDescent="0.3">
      <c r="A6" s="906"/>
      <c r="B6" s="305"/>
      <c r="C6" s="305"/>
      <c r="D6" s="305"/>
      <c r="E6" s="305"/>
      <c r="F6" s="305"/>
      <c r="G6" s="305"/>
      <c r="H6" s="305"/>
      <c r="I6" s="305"/>
      <c r="J6" s="305"/>
      <c r="K6" s="305"/>
      <c r="L6" s="305"/>
      <c r="M6" s="305"/>
      <c r="N6" s="299"/>
      <c r="O6" s="299"/>
      <c r="P6" s="906"/>
      <c r="Q6" s="906"/>
    </row>
    <row r="7" spans="1:20" ht="13.8" thickTop="1" x14ac:dyDescent="0.25">
      <c r="A7" s="906"/>
      <c r="B7" s="910"/>
      <c r="C7" s="462"/>
      <c r="D7" s="462"/>
      <c r="E7" s="462"/>
      <c r="F7" s="462"/>
      <c r="G7" s="462"/>
      <c r="H7" s="462"/>
      <c r="I7" s="462"/>
      <c r="J7" s="462"/>
      <c r="K7" s="462"/>
      <c r="L7" s="462"/>
      <c r="M7" s="462"/>
      <c r="N7" s="462"/>
      <c r="O7" s="462"/>
      <c r="P7" s="911"/>
      <c r="Q7" s="906"/>
    </row>
    <row r="8" spans="1:20" ht="107.25" customHeight="1" x14ac:dyDescent="0.25">
      <c r="A8" s="906"/>
      <c r="B8" s="912"/>
      <c r="C8" s="2306" t="s">
        <v>148</v>
      </c>
      <c r="D8" s="2306"/>
      <c r="E8" s="2306"/>
      <c r="F8" s="2306"/>
      <c r="G8" s="2306"/>
      <c r="H8" s="2306"/>
      <c r="I8" s="2306"/>
      <c r="J8" s="2306"/>
      <c r="K8" s="2306"/>
      <c r="L8" s="2306"/>
      <c r="M8" s="2306"/>
      <c r="N8" s="2306"/>
      <c r="O8" s="2306"/>
      <c r="P8" s="913"/>
      <c r="Q8" s="906"/>
    </row>
    <row r="9" spans="1:20" ht="106.5" customHeight="1" x14ac:dyDescent="0.25">
      <c r="A9" s="906"/>
      <c r="B9" s="912"/>
      <c r="C9" s="2306" t="s">
        <v>149</v>
      </c>
      <c r="D9" s="2306"/>
      <c r="E9" s="2306"/>
      <c r="F9" s="2306"/>
      <c r="G9" s="2306"/>
      <c r="H9" s="2306"/>
      <c r="I9" s="2306"/>
      <c r="J9" s="2306"/>
      <c r="K9" s="2306"/>
      <c r="L9" s="2306"/>
      <c r="M9" s="2306"/>
      <c r="N9" s="2306"/>
      <c r="O9" s="2306"/>
      <c r="P9" s="913"/>
      <c r="Q9" s="906"/>
    </row>
    <row r="10" spans="1:20" ht="15" customHeight="1" x14ac:dyDescent="0.25">
      <c r="A10" s="906"/>
      <c r="B10" s="912"/>
      <c r="C10" s="917"/>
      <c r="D10" s="917"/>
      <c r="E10" s="917"/>
      <c r="F10" s="917"/>
      <c r="G10" s="917"/>
      <c r="H10" s="917"/>
      <c r="I10" s="917"/>
      <c r="J10" s="917"/>
      <c r="K10" s="917"/>
      <c r="L10" s="917"/>
      <c r="M10" s="917"/>
      <c r="N10" s="917"/>
      <c r="O10" s="917"/>
      <c r="P10" s="913"/>
      <c r="Q10" s="906"/>
    </row>
    <row r="11" spans="1:20" ht="20.100000000000001" customHeight="1" x14ac:dyDescent="0.25">
      <c r="A11" s="906"/>
      <c r="B11" s="2321" t="s">
        <v>150</v>
      </c>
      <c r="C11" s="2322"/>
      <c r="D11" s="2322"/>
      <c r="E11" s="2322"/>
      <c r="F11" s="2322"/>
      <c r="G11" s="2322"/>
      <c r="H11" s="2322"/>
      <c r="I11" s="2322"/>
      <c r="J11" s="2322"/>
      <c r="K11" s="2322"/>
      <c r="L11" s="2322"/>
      <c r="M11" s="2322"/>
      <c r="N11" s="2322"/>
      <c r="O11" s="2322"/>
      <c r="P11" s="2323"/>
      <c r="Q11" s="906"/>
      <c r="T11" s="1181">
        <v>1</v>
      </c>
    </row>
    <row r="12" spans="1:20" ht="49.95" customHeight="1" x14ac:dyDescent="0.25">
      <c r="A12" s="906"/>
      <c r="B12" s="2314"/>
      <c r="C12" s="2315"/>
      <c r="D12" s="2316" t="s">
        <v>151</v>
      </c>
      <c r="E12" s="2317"/>
      <c r="F12" s="2317"/>
      <c r="G12" s="2317"/>
      <c r="H12" s="2317"/>
      <c r="I12" s="2317"/>
      <c r="J12" s="2317"/>
      <c r="K12" s="2317"/>
      <c r="L12" s="2317"/>
      <c r="M12" s="2317"/>
      <c r="N12" s="348"/>
      <c r="O12" s="348"/>
      <c r="P12" s="913"/>
      <c r="Q12" s="906"/>
    </row>
    <row r="13" spans="1:20" ht="15" x14ac:dyDescent="0.25">
      <c r="A13" s="906"/>
      <c r="B13" s="2314"/>
      <c r="C13" s="2315"/>
      <c r="D13" s="2306" t="s">
        <v>1328</v>
      </c>
      <c r="E13" s="2306"/>
      <c r="F13" s="2306"/>
      <c r="G13" s="2306"/>
      <c r="H13" s="2306"/>
      <c r="I13" s="2306"/>
      <c r="J13" s="2306"/>
      <c r="K13" s="2306"/>
      <c r="L13" s="2306"/>
      <c r="M13" s="2306"/>
      <c r="N13" s="348"/>
      <c r="O13" s="348"/>
      <c r="P13" s="913"/>
      <c r="Q13" s="906"/>
    </row>
    <row r="14" spans="1:20" x14ac:dyDescent="0.25">
      <c r="A14" s="906"/>
      <c r="B14" s="2314"/>
      <c r="C14" s="2315"/>
      <c r="D14" s="2307" t="s">
        <v>1501</v>
      </c>
      <c r="E14" s="2308"/>
      <c r="F14" s="2308"/>
      <c r="G14" s="2308"/>
      <c r="H14" s="2308"/>
      <c r="I14" s="2308"/>
      <c r="J14" s="2308"/>
      <c r="K14" s="2308"/>
      <c r="L14" s="2308"/>
      <c r="M14" s="2309"/>
      <c r="N14" s="908"/>
      <c r="O14" s="348"/>
      <c r="P14" s="913"/>
      <c r="Q14" s="906"/>
    </row>
    <row r="15" spans="1:20" ht="15" x14ac:dyDescent="0.25">
      <c r="A15" s="906"/>
      <c r="B15" s="2314"/>
      <c r="C15" s="2315"/>
      <c r="D15" s="2310" t="s">
        <v>1329</v>
      </c>
      <c r="E15" s="2310"/>
      <c r="F15" s="2310"/>
      <c r="G15" s="2310"/>
      <c r="H15" s="2310"/>
      <c r="I15" s="2310"/>
      <c r="J15" s="2310"/>
      <c r="K15" s="2310"/>
      <c r="L15" s="2310"/>
      <c r="M15" s="2310"/>
      <c r="N15" s="348"/>
      <c r="O15" s="348"/>
      <c r="P15" s="913"/>
      <c r="Q15" s="906"/>
    </row>
    <row r="16" spans="1:20" x14ac:dyDescent="0.25">
      <c r="A16" s="906"/>
      <c r="B16" s="2314"/>
      <c r="C16" s="2315"/>
      <c r="D16" s="2307" t="s">
        <v>1502</v>
      </c>
      <c r="E16" s="2308"/>
      <c r="F16" s="2308"/>
      <c r="G16" s="2308"/>
      <c r="H16" s="2308"/>
      <c r="I16" s="2308"/>
      <c r="J16" s="2308"/>
      <c r="K16" s="2308"/>
      <c r="L16" s="2308"/>
      <c r="M16" s="2309"/>
      <c r="N16" s="908"/>
      <c r="O16" s="348"/>
      <c r="P16" s="913"/>
      <c r="Q16" s="906"/>
    </row>
    <row r="17" spans="1:17" ht="15" x14ac:dyDescent="0.25">
      <c r="A17" s="906"/>
      <c r="B17" s="2314"/>
      <c r="C17" s="2315"/>
      <c r="D17" s="2306" t="s">
        <v>1330</v>
      </c>
      <c r="E17" s="2306"/>
      <c r="F17" s="2306"/>
      <c r="G17" s="2306"/>
      <c r="H17" s="2306"/>
      <c r="I17" s="2306"/>
      <c r="J17" s="2306"/>
      <c r="K17" s="2306"/>
      <c r="L17" s="2306"/>
      <c r="M17" s="2306"/>
      <c r="N17" s="348"/>
      <c r="O17" s="348"/>
      <c r="P17" s="913"/>
      <c r="Q17" s="906"/>
    </row>
    <row r="18" spans="1:17" x14ac:dyDescent="0.25">
      <c r="A18" s="906"/>
      <c r="B18" s="2314"/>
      <c r="C18" s="2315"/>
      <c r="D18" s="2292" t="s">
        <v>1503</v>
      </c>
      <c r="E18" s="2293"/>
      <c r="F18" s="2293"/>
      <c r="G18" s="2293"/>
      <c r="H18" s="2293"/>
      <c r="I18" s="2293"/>
      <c r="J18" s="2293"/>
      <c r="K18" s="2293"/>
      <c r="L18" s="2293"/>
      <c r="M18" s="2294"/>
      <c r="N18" s="908"/>
      <c r="O18" s="348"/>
      <c r="P18" s="913"/>
      <c r="Q18" s="906"/>
    </row>
    <row r="19" spans="1:17" x14ac:dyDescent="0.25">
      <c r="A19" s="906"/>
      <c r="B19" s="2314"/>
      <c r="C19" s="2315"/>
      <c r="D19" s="2298"/>
      <c r="E19" s="2299"/>
      <c r="F19" s="2299"/>
      <c r="G19" s="2299"/>
      <c r="H19" s="2299"/>
      <c r="I19" s="2299"/>
      <c r="J19" s="2299"/>
      <c r="K19" s="2299"/>
      <c r="L19" s="2299"/>
      <c r="M19" s="2300"/>
      <c r="N19" s="908"/>
      <c r="O19" s="348"/>
      <c r="P19" s="913"/>
      <c r="Q19" s="906"/>
    </row>
    <row r="20" spans="1:17" ht="15" x14ac:dyDescent="0.25">
      <c r="A20" s="906"/>
      <c r="B20" s="2314"/>
      <c r="C20" s="2315"/>
      <c r="D20" s="2306" t="s">
        <v>1331</v>
      </c>
      <c r="E20" s="2306"/>
      <c r="F20" s="2306"/>
      <c r="G20" s="2306"/>
      <c r="H20" s="2306"/>
      <c r="I20" s="2306"/>
      <c r="J20" s="2306"/>
      <c r="K20" s="2306"/>
      <c r="L20" s="2306"/>
      <c r="M20" s="2306"/>
      <c r="N20" s="348"/>
      <c r="O20" s="348"/>
      <c r="P20" s="913"/>
      <c r="Q20" s="906"/>
    </row>
    <row r="21" spans="1:17" ht="18" customHeight="1" x14ac:dyDescent="0.25">
      <c r="A21" s="906"/>
      <c r="B21" s="2314"/>
      <c r="C21" s="2315"/>
      <c r="D21" s="2311" t="s">
        <v>1494</v>
      </c>
      <c r="E21" s="2312"/>
      <c r="F21" s="2312"/>
      <c r="G21" s="2312"/>
      <c r="H21" s="2312"/>
      <c r="I21" s="2312"/>
      <c r="J21" s="2312"/>
      <c r="K21" s="2312"/>
      <c r="L21" s="2312"/>
      <c r="M21" s="2313"/>
      <c r="N21" s="908"/>
      <c r="O21" s="348"/>
      <c r="P21" s="913"/>
      <c r="Q21" s="906"/>
    </row>
    <row r="22" spans="1:17" x14ac:dyDescent="0.25">
      <c r="A22" s="906"/>
      <c r="B22" s="2314"/>
      <c r="C22" s="2315"/>
      <c r="D22" s="2324" t="s">
        <v>152</v>
      </c>
      <c r="E22" s="2325"/>
      <c r="F22" s="2325"/>
      <c r="G22" s="2325"/>
      <c r="H22" s="2325"/>
      <c r="I22" s="2325"/>
      <c r="J22" s="2325"/>
      <c r="K22" s="2325"/>
      <c r="L22" s="2325"/>
      <c r="M22" s="2325"/>
      <c r="N22" s="348"/>
      <c r="O22" s="348"/>
      <c r="P22" s="913"/>
      <c r="Q22" s="906"/>
    </row>
    <row r="23" spans="1:17" x14ac:dyDescent="0.25">
      <c r="A23" s="906"/>
      <c r="B23" s="2314"/>
      <c r="C23" s="2315"/>
      <c r="D23" s="2325"/>
      <c r="E23" s="2325"/>
      <c r="F23" s="2325"/>
      <c r="G23" s="2325"/>
      <c r="H23" s="2325"/>
      <c r="I23" s="2325"/>
      <c r="J23" s="2325"/>
      <c r="K23" s="2325"/>
      <c r="L23" s="2325"/>
      <c r="M23" s="2325"/>
      <c r="N23" s="348"/>
      <c r="O23" s="348"/>
      <c r="P23" s="913"/>
      <c r="Q23" s="906"/>
    </row>
    <row r="24" spans="1:17" x14ac:dyDescent="0.25">
      <c r="A24" s="906"/>
      <c r="B24" s="2314"/>
      <c r="C24" s="2315"/>
      <c r="D24" s="2325"/>
      <c r="E24" s="2325"/>
      <c r="F24" s="2325"/>
      <c r="G24" s="2325"/>
      <c r="H24" s="2325"/>
      <c r="I24" s="2325"/>
      <c r="J24" s="2325"/>
      <c r="K24" s="2325"/>
      <c r="L24" s="2325"/>
      <c r="M24" s="2325"/>
      <c r="N24" s="348"/>
      <c r="O24" s="348"/>
      <c r="P24" s="913"/>
      <c r="Q24" s="906"/>
    </row>
    <row r="25" spans="1:17" x14ac:dyDescent="0.25">
      <c r="A25" s="906"/>
      <c r="B25" s="2314"/>
      <c r="C25" s="2315"/>
      <c r="D25" s="348"/>
      <c r="E25" s="348"/>
      <c r="F25" s="348"/>
      <c r="G25" s="348"/>
      <c r="H25" s="348"/>
      <c r="I25" s="348"/>
      <c r="J25" s="348"/>
      <c r="K25" s="348"/>
      <c r="L25" s="348"/>
      <c r="M25" s="348"/>
      <c r="N25" s="348"/>
      <c r="O25" s="348"/>
      <c r="P25" s="913"/>
      <c r="Q25" s="906"/>
    </row>
    <row r="26" spans="1:17" ht="69" customHeight="1" x14ac:dyDescent="0.25">
      <c r="A26" s="906"/>
      <c r="B26" s="2314"/>
      <c r="C26" s="2315"/>
      <c r="D26" s="2318"/>
      <c r="E26" s="2319"/>
      <c r="F26" s="2319"/>
      <c r="G26" s="2319"/>
      <c r="H26" s="2319"/>
      <c r="I26" s="2319"/>
      <c r="J26" s="2319"/>
      <c r="K26" s="2319"/>
      <c r="L26" s="2319"/>
      <c r="M26" s="2320"/>
      <c r="N26" s="348"/>
      <c r="O26" s="348"/>
      <c r="P26" s="913"/>
      <c r="Q26" s="906"/>
    </row>
    <row r="27" spans="1:17" x14ac:dyDescent="0.25">
      <c r="A27" s="906"/>
      <c r="B27" s="374"/>
      <c r="C27" s="348"/>
      <c r="D27" s="909"/>
      <c r="E27" s="2199"/>
      <c r="F27" s="2199"/>
      <c r="G27" s="2199"/>
      <c r="H27" s="2199"/>
      <c r="I27" s="2199"/>
      <c r="J27" s="2199"/>
      <c r="K27" s="2199"/>
      <c r="L27" s="2199"/>
      <c r="M27" s="2199"/>
      <c r="N27" s="348"/>
      <c r="O27" s="348"/>
      <c r="P27" s="913"/>
      <c r="Q27" s="906"/>
    </row>
    <row r="28" spans="1:17" ht="13.8" thickBot="1" x14ac:dyDescent="0.3">
      <c r="A28" s="906"/>
      <c r="B28" s="914"/>
      <c r="C28" s="915"/>
      <c r="D28" s="915"/>
      <c r="E28" s="915"/>
      <c r="F28" s="915"/>
      <c r="G28" s="915"/>
      <c r="H28" s="915"/>
      <c r="I28" s="915"/>
      <c r="J28" s="915"/>
      <c r="K28" s="915"/>
      <c r="L28" s="915"/>
      <c r="M28" s="915"/>
      <c r="N28" s="915"/>
      <c r="O28" s="915"/>
      <c r="P28" s="916"/>
      <c r="Q28" s="906"/>
    </row>
    <row r="29" spans="1:17" ht="13.8" thickTop="1" x14ac:dyDescent="0.25">
      <c r="A29" s="906"/>
      <c r="B29" s="906"/>
      <c r="C29" s="906"/>
      <c r="D29" s="906"/>
      <c r="E29" s="906"/>
      <c r="F29" s="906"/>
      <c r="G29" s="906"/>
      <c r="H29" s="906"/>
      <c r="I29" s="906"/>
      <c r="J29" s="906"/>
      <c r="K29" s="906"/>
      <c r="L29" s="906"/>
      <c r="M29" s="906"/>
      <c r="N29" s="906"/>
      <c r="O29" s="906"/>
      <c r="P29" s="906"/>
      <c r="Q29" s="906"/>
    </row>
    <row r="30" spans="1:17" x14ac:dyDescent="0.25">
      <c r="A30" s="906"/>
      <c r="B30" s="906"/>
      <c r="C30" s="906"/>
      <c r="D30" s="906"/>
      <c r="E30" s="906"/>
      <c r="F30" s="906"/>
      <c r="G30" s="906"/>
      <c r="H30" s="906"/>
      <c r="I30" s="906"/>
      <c r="J30" s="906"/>
      <c r="K30" s="906"/>
      <c r="L30" s="906"/>
      <c r="M30" s="906"/>
      <c r="N30" s="906"/>
      <c r="O30" s="906"/>
      <c r="P30" s="906"/>
      <c r="Q30" s="906"/>
    </row>
    <row r="31" spans="1:17" x14ac:dyDescent="0.25">
      <c r="A31" s="906"/>
      <c r="B31" s="906"/>
      <c r="C31" s="906"/>
      <c r="D31" s="906"/>
      <c r="E31" s="906"/>
      <c r="F31" s="906"/>
      <c r="G31" s="906"/>
      <c r="H31" s="906"/>
      <c r="I31" s="906"/>
      <c r="J31" s="906"/>
      <c r="K31" s="906"/>
      <c r="L31" s="906"/>
      <c r="M31" s="906"/>
      <c r="N31" s="906"/>
      <c r="O31" s="906"/>
      <c r="P31" s="906"/>
      <c r="Q31" s="906"/>
    </row>
    <row r="32" spans="1:17" x14ac:dyDescent="0.25">
      <c r="A32" s="906"/>
      <c r="B32" s="906"/>
      <c r="C32" s="906"/>
      <c r="D32" s="906"/>
      <c r="E32" s="906"/>
      <c r="F32" s="906"/>
      <c r="G32" s="906"/>
      <c r="H32" s="906"/>
      <c r="I32" s="906"/>
      <c r="J32" s="906"/>
      <c r="K32" s="906"/>
      <c r="L32" s="906"/>
      <c r="M32" s="906"/>
      <c r="N32" s="906"/>
      <c r="O32" s="906"/>
      <c r="P32" s="906"/>
      <c r="Q32" s="906"/>
    </row>
    <row r="33" spans="1:17" x14ac:dyDescent="0.25">
      <c r="A33" s="20"/>
      <c r="B33" s="20"/>
      <c r="C33" s="20"/>
      <c r="D33" s="20"/>
      <c r="E33" s="20"/>
      <c r="F33" s="20"/>
      <c r="G33" s="20"/>
      <c r="H33" s="20"/>
      <c r="I33" s="20"/>
      <c r="J33" s="20"/>
      <c r="K33" s="20"/>
      <c r="L33" s="20"/>
      <c r="M33" s="20"/>
      <c r="N33" s="20"/>
      <c r="O33" s="20"/>
      <c r="P33" s="20"/>
      <c r="Q33" s="20"/>
    </row>
    <row r="34" spans="1:17" x14ac:dyDescent="0.25">
      <c r="A34" s="20"/>
      <c r="B34" s="20"/>
      <c r="C34" s="20"/>
      <c r="D34" s="20"/>
      <c r="E34" s="20"/>
      <c r="F34" s="20"/>
      <c r="G34" s="20"/>
      <c r="H34" s="20"/>
      <c r="I34" s="20"/>
      <c r="J34" s="20"/>
      <c r="K34" s="20"/>
      <c r="L34" s="20"/>
      <c r="M34" s="20"/>
      <c r="N34" s="20"/>
      <c r="O34" s="20"/>
      <c r="P34" s="20"/>
      <c r="Q34" s="20"/>
    </row>
    <row r="35" spans="1:17" x14ac:dyDescent="0.25">
      <c r="A35" s="20"/>
      <c r="B35" s="20"/>
      <c r="C35" s="20"/>
      <c r="D35" s="20"/>
      <c r="E35" s="20"/>
      <c r="F35" s="20"/>
      <c r="G35" s="20"/>
      <c r="H35" s="20"/>
      <c r="I35" s="20"/>
      <c r="J35" s="20"/>
      <c r="K35" s="20"/>
      <c r="L35" s="20"/>
      <c r="M35" s="20"/>
      <c r="N35" s="20"/>
      <c r="O35" s="20"/>
      <c r="P35" s="20"/>
      <c r="Q35" s="20"/>
    </row>
    <row r="36" spans="1:17" x14ac:dyDescent="0.25">
      <c r="A36" s="20"/>
      <c r="B36" s="20"/>
      <c r="C36" s="20"/>
      <c r="D36" s="20"/>
      <c r="E36" s="20"/>
      <c r="F36" s="20"/>
      <c r="G36" s="20"/>
      <c r="H36" s="20"/>
      <c r="I36" s="20"/>
      <c r="J36" s="20"/>
      <c r="K36" s="20"/>
      <c r="L36" s="20"/>
      <c r="M36" s="20"/>
      <c r="N36" s="20"/>
      <c r="O36" s="20"/>
      <c r="P36" s="20"/>
      <c r="Q36" s="20"/>
    </row>
    <row r="37" spans="1:17" x14ac:dyDescent="0.25">
      <c r="A37" s="20"/>
      <c r="B37" s="20"/>
      <c r="C37" s="20"/>
      <c r="D37" s="20"/>
      <c r="E37" s="20"/>
      <c r="F37" s="20"/>
      <c r="G37" s="20"/>
      <c r="H37" s="20"/>
      <c r="I37" s="20"/>
      <c r="J37" s="20"/>
      <c r="K37" s="20"/>
      <c r="L37" s="20"/>
      <c r="M37" s="20"/>
      <c r="N37" s="20"/>
      <c r="O37" s="20"/>
      <c r="P37" s="20"/>
      <c r="Q37" s="20"/>
    </row>
    <row r="38" spans="1:17" x14ac:dyDescent="0.25">
      <c r="A38" s="20"/>
      <c r="B38" s="20"/>
      <c r="C38" s="20"/>
      <c r="D38" s="20"/>
      <c r="E38" s="20"/>
      <c r="F38" s="20"/>
      <c r="G38" s="20"/>
      <c r="H38" s="20"/>
      <c r="I38" s="20"/>
      <c r="J38" s="20"/>
      <c r="K38" s="20"/>
      <c r="L38" s="20"/>
      <c r="M38" s="20"/>
      <c r="N38" s="20"/>
      <c r="O38" s="20"/>
      <c r="P38" s="20"/>
      <c r="Q38" s="20"/>
    </row>
    <row r="39" spans="1:17" x14ac:dyDescent="0.25">
      <c r="A39" s="20"/>
      <c r="B39" s="20"/>
      <c r="C39" s="20"/>
      <c r="D39" s="20"/>
      <c r="E39" s="20"/>
      <c r="F39" s="20"/>
      <c r="G39" s="20"/>
      <c r="H39" s="20"/>
      <c r="I39" s="20"/>
      <c r="J39" s="20"/>
      <c r="K39" s="20"/>
      <c r="L39" s="20"/>
      <c r="M39" s="20"/>
      <c r="N39" s="20"/>
      <c r="O39" s="20"/>
      <c r="P39" s="20"/>
      <c r="Q39" s="20"/>
    </row>
    <row r="40" spans="1:17" x14ac:dyDescent="0.25">
      <c r="A40" s="20"/>
      <c r="B40" s="20"/>
      <c r="C40" s="20"/>
      <c r="D40" s="20"/>
      <c r="E40" s="20"/>
      <c r="F40" s="20"/>
      <c r="G40" s="20"/>
      <c r="H40" s="20"/>
      <c r="I40" s="20"/>
      <c r="J40" s="20"/>
      <c r="K40" s="20"/>
      <c r="L40" s="20"/>
      <c r="M40" s="20"/>
      <c r="N40" s="20"/>
      <c r="O40" s="20"/>
      <c r="P40" s="20"/>
      <c r="Q40" s="20"/>
    </row>
    <row r="41" spans="1:17" x14ac:dyDescent="0.25">
      <c r="A41" s="20"/>
      <c r="B41" s="20"/>
      <c r="C41" s="20"/>
      <c r="D41" s="20"/>
      <c r="E41" s="20"/>
      <c r="F41" s="20"/>
      <c r="G41" s="20"/>
      <c r="H41" s="20"/>
      <c r="I41" s="20"/>
      <c r="J41" s="20"/>
      <c r="K41" s="20"/>
      <c r="L41" s="20"/>
      <c r="M41" s="20"/>
      <c r="N41" s="20"/>
      <c r="O41" s="20"/>
      <c r="P41" s="20"/>
      <c r="Q41" s="20"/>
    </row>
    <row r="42" spans="1:17" x14ac:dyDescent="0.25">
      <c r="A42" s="20"/>
      <c r="B42" s="20"/>
      <c r="C42" s="20"/>
      <c r="D42" s="20"/>
      <c r="E42" s="20"/>
      <c r="F42" s="20"/>
      <c r="G42" s="20"/>
      <c r="H42" s="20"/>
      <c r="I42" s="20"/>
      <c r="J42" s="20"/>
      <c r="K42" s="20"/>
      <c r="L42" s="20"/>
      <c r="M42" s="20"/>
      <c r="N42" s="20"/>
      <c r="O42" s="20"/>
      <c r="P42" s="20"/>
      <c r="Q42" s="20"/>
    </row>
    <row r="43" spans="1:17" x14ac:dyDescent="0.25">
      <c r="A43" s="20"/>
      <c r="B43" s="20"/>
      <c r="C43" s="20"/>
      <c r="D43" s="20"/>
      <c r="E43" s="20"/>
      <c r="F43" s="20"/>
      <c r="G43" s="20"/>
      <c r="H43" s="20"/>
      <c r="I43" s="20"/>
      <c r="J43" s="20"/>
      <c r="K43" s="20"/>
      <c r="L43" s="20"/>
      <c r="M43" s="20"/>
      <c r="N43" s="20"/>
      <c r="O43" s="20"/>
      <c r="P43" s="20"/>
      <c r="Q43" s="20"/>
    </row>
    <row r="44" spans="1:17" x14ac:dyDescent="0.25">
      <c r="A44" s="20"/>
      <c r="B44" s="20"/>
      <c r="C44" s="20"/>
      <c r="D44" s="20"/>
      <c r="E44" s="20"/>
      <c r="F44" s="20"/>
      <c r="G44" s="20"/>
      <c r="H44" s="20"/>
      <c r="I44" s="20"/>
      <c r="J44" s="20"/>
      <c r="K44" s="20"/>
      <c r="L44" s="20"/>
      <c r="M44" s="20"/>
      <c r="N44" s="20"/>
      <c r="O44" s="20"/>
      <c r="P44" s="20"/>
      <c r="Q44" s="20"/>
    </row>
    <row r="45" spans="1:17" x14ac:dyDescent="0.25">
      <c r="A45" s="20"/>
      <c r="B45" s="20"/>
      <c r="C45" s="20"/>
      <c r="D45" s="20"/>
      <c r="E45" s="20"/>
      <c r="F45" s="20"/>
      <c r="G45" s="20"/>
      <c r="H45" s="20"/>
      <c r="I45" s="20"/>
      <c r="J45" s="20"/>
      <c r="K45" s="20"/>
      <c r="L45" s="20"/>
      <c r="M45" s="20"/>
      <c r="N45" s="20"/>
      <c r="O45" s="20"/>
      <c r="P45" s="20"/>
      <c r="Q45" s="20"/>
    </row>
    <row r="46" spans="1:17" x14ac:dyDescent="0.25">
      <c r="A46" s="20"/>
      <c r="B46" s="20"/>
      <c r="C46" s="20"/>
      <c r="D46" s="20"/>
      <c r="E46" s="20"/>
      <c r="F46" s="20"/>
      <c r="G46" s="20"/>
      <c r="H46" s="20"/>
      <c r="I46" s="20"/>
      <c r="J46" s="20"/>
      <c r="K46" s="20"/>
      <c r="L46" s="20"/>
      <c r="M46" s="20"/>
      <c r="N46" s="20"/>
      <c r="O46" s="20"/>
      <c r="P46" s="20"/>
      <c r="Q46" s="20"/>
    </row>
    <row r="47" spans="1:17" x14ac:dyDescent="0.25">
      <c r="A47" s="20"/>
      <c r="B47" s="20"/>
      <c r="C47" s="20"/>
      <c r="D47" s="20"/>
      <c r="E47" s="20"/>
      <c r="F47" s="20"/>
      <c r="G47" s="20"/>
      <c r="H47" s="20"/>
      <c r="I47" s="20"/>
      <c r="J47" s="20"/>
      <c r="K47" s="20"/>
      <c r="L47" s="20"/>
      <c r="M47" s="20"/>
      <c r="N47" s="20"/>
      <c r="O47" s="20"/>
      <c r="P47" s="20"/>
      <c r="Q47" s="20"/>
    </row>
    <row r="48" spans="1:17" x14ac:dyDescent="0.25">
      <c r="A48" s="20"/>
      <c r="B48" s="20"/>
      <c r="C48" s="20"/>
      <c r="D48" s="20"/>
      <c r="E48" s="20"/>
      <c r="F48" s="20"/>
      <c r="G48" s="20"/>
      <c r="H48" s="20"/>
      <c r="I48" s="20"/>
      <c r="J48" s="20"/>
      <c r="K48" s="20"/>
      <c r="L48" s="20"/>
      <c r="M48" s="20"/>
      <c r="N48" s="20"/>
      <c r="O48" s="20"/>
      <c r="P48" s="20"/>
      <c r="Q48" s="20"/>
    </row>
    <row r="49" spans="1:17" x14ac:dyDescent="0.25">
      <c r="A49" s="20"/>
      <c r="B49" s="20"/>
      <c r="C49" s="20"/>
      <c r="D49" s="20"/>
      <c r="E49" s="20"/>
      <c r="F49" s="20"/>
      <c r="G49" s="20"/>
      <c r="H49" s="20"/>
      <c r="I49" s="20"/>
      <c r="J49" s="20"/>
      <c r="K49" s="20"/>
      <c r="L49" s="20"/>
      <c r="M49" s="20"/>
      <c r="N49" s="20"/>
      <c r="O49" s="20"/>
      <c r="P49" s="20"/>
      <c r="Q49" s="20"/>
    </row>
    <row r="50" spans="1:17" x14ac:dyDescent="0.25">
      <c r="A50" s="20"/>
      <c r="B50" s="20"/>
      <c r="C50" s="20"/>
      <c r="D50" s="20"/>
      <c r="E50" s="20"/>
      <c r="F50" s="20"/>
      <c r="G50" s="20"/>
      <c r="H50" s="20"/>
      <c r="I50" s="20"/>
      <c r="J50" s="20"/>
      <c r="K50" s="20"/>
      <c r="L50" s="20"/>
      <c r="M50" s="20"/>
      <c r="N50" s="20"/>
      <c r="O50" s="20"/>
      <c r="P50" s="20"/>
      <c r="Q50" s="20"/>
    </row>
    <row r="51" spans="1:17" x14ac:dyDescent="0.25">
      <c r="A51" s="20"/>
      <c r="B51" s="20"/>
      <c r="C51" s="20"/>
      <c r="D51" s="20"/>
      <c r="E51" s="20"/>
      <c r="F51" s="20"/>
      <c r="G51" s="20"/>
      <c r="H51" s="20"/>
      <c r="I51" s="20"/>
      <c r="J51" s="20"/>
      <c r="K51" s="20"/>
      <c r="L51" s="20"/>
      <c r="M51" s="20"/>
      <c r="N51" s="20"/>
      <c r="O51" s="20"/>
      <c r="P51" s="20"/>
      <c r="Q51" s="20"/>
    </row>
    <row r="52" spans="1:17" x14ac:dyDescent="0.25">
      <c r="A52" s="20"/>
      <c r="B52" s="20"/>
      <c r="C52" s="20"/>
      <c r="D52" s="20"/>
      <c r="E52" s="20"/>
      <c r="F52" s="20"/>
      <c r="G52" s="20"/>
      <c r="H52" s="20"/>
      <c r="I52" s="20"/>
      <c r="J52" s="20"/>
      <c r="K52" s="20"/>
      <c r="L52" s="20"/>
      <c r="M52" s="20"/>
      <c r="N52" s="20"/>
      <c r="O52" s="20"/>
      <c r="P52" s="20"/>
      <c r="Q52" s="20"/>
    </row>
    <row r="53" spans="1:17" x14ac:dyDescent="0.25">
      <c r="A53" s="20"/>
      <c r="B53" s="20"/>
      <c r="C53" s="20"/>
      <c r="D53" s="20"/>
      <c r="E53" s="20"/>
      <c r="F53" s="20"/>
      <c r="G53" s="20"/>
      <c r="H53" s="20"/>
      <c r="I53" s="20"/>
      <c r="J53" s="20"/>
      <c r="K53" s="20"/>
      <c r="L53" s="20"/>
      <c r="M53" s="20"/>
      <c r="N53" s="20"/>
      <c r="O53" s="20"/>
      <c r="P53" s="20"/>
      <c r="Q53" s="20"/>
    </row>
    <row r="54" spans="1:17" x14ac:dyDescent="0.25">
      <c r="A54" s="20"/>
      <c r="B54" s="20"/>
      <c r="C54" s="20"/>
      <c r="D54" s="20"/>
      <c r="E54" s="20"/>
      <c r="F54" s="20"/>
      <c r="G54" s="20"/>
      <c r="H54" s="20"/>
      <c r="I54" s="20"/>
      <c r="J54" s="20"/>
      <c r="K54" s="20"/>
      <c r="L54" s="20"/>
      <c r="M54" s="20"/>
      <c r="N54" s="20"/>
      <c r="O54" s="20"/>
      <c r="P54" s="20"/>
      <c r="Q54" s="20"/>
    </row>
    <row r="55" spans="1:17" x14ac:dyDescent="0.25">
      <c r="A55" s="20"/>
      <c r="B55" s="20"/>
      <c r="C55" s="20"/>
      <c r="D55" s="20"/>
      <c r="E55" s="20"/>
      <c r="F55" s="20"/>
      <c r="G55" s="20"/>
      <c r="H55" s="20"/>
      <c r="I55" s="20"/>
      <c r="J55" s="20"/>
      <c r="K55" s="20"/>
      <c r="L55" s="20"/>
      <c r="M55" s="20"/>
      <c r="N55" s="20"/>
      <c r="O55" s="20"/>
      <c r="P55" s="20"/>
      <c r="Q55" s="20"/>
    </row>
    <row r="56" spans="1:17" x14ac:dyDescent="0.25">
      <c r="A56" s="20"/>
      <c r="B56" s="20"/>
      <c r="C56" s="20"/>
      <c r="D56" s="20"/>
      <c r="E56" s="20"/>
      <c r="F56" s="20"/>
      <c r="G56" s="20"/>
      <c r="H56" s="20"/>
      <c r="I56" s="20"/>
      <c r="J56" s="20"/>
      <c r="K56" s="20"/>
      <c r="L56" s="20"/>
      <c r="M56" s="20"/>
      <c r="N56" s="20"/>
      <c r="O56" s="20"/>
      <c r="P56" s="20"/>
      <c r="Q56" s="20"/>
    </row>
    <row r="57" spans="1:17" x14ac:dyDescent="0.25">
      <c r="A57" s="20"/>
      <c r="B57" s="20"/>
      <c r="C57" s="20"/>
      <c r="D57" s="20"/>
      <c r="E57" s="20"/>
      <c r="F57" s="20"/>
      <c r="G57" s="20"/>
      <c r="H57" s="20"/>
      <c r="I57" s="20"/>
      <c r="J57" s="20"/>
      <c r="K57" s="20"/>
      <c r="L57" s="20"/>
      <c r="M57" s="20"/>
      <c r="N57" s="20"/>
      <c r="O57" s="20"/>
      <c r="P57" s="20"/>
      <c r="Q57" s="20"/>
    </row>
    <row r="58" spans="1:17" x14ac:dyDescent="0.25">
      <c r="A58" s="20"/>
      <c r="B58" s="20"/>
      <c r="C58" s="20"/>
      <c r="D58" s="20"/>
      <c r="E58" s="20"/>
      <c r="F58" s="20"/>
      <c r="G58" s="20"/>
      <c r="H58" s="20"/>
      <c r="I58" s="20"/>
      <c r="J58" s="20"/>
      <c r="K58" s="20"/>
      <c r="L58" s="20"/>
      <c r="M58" s="20"/>
      <c r="N58" s="20"/>
      <c r="O58" s="20"/>
      <c r="P58" s="20"/>
      <c r="Q58" s="20"/>
    </row>
    <row r="59" spans="1:17" x14ac:dyDescent="0.25">
      <c r="A59" s="20"/>
      <c r="B59" s="20"/>
      <c r="C59" s="20"/>
      <c r="D59" s="20"/>
      <c r="E59" s="20"/>
      <c r="F59" s="20"/>
      <c r="G59" s="20"/>
      <c r="H59" s="20"/>
      <c r="I59" s="20"/>
      <c r="J59" s="20"/>
      <c r="K59" s="20"/>
      <c r="L59" s="20"/>
      <c r="M59" s="20"/>
      <c r="N59" s="20"/>
      <c r="O59" s="20"/>
      <c r="P59" s="20"/>
      <c r="Q59" s="20"/>
    </row>
    <row r="60" spans="1:17" x14ac:dyDescent="0.25">
      <c r="A60" s="20"/>
      <c r="B60" s="20"/>
      <c r="C60" s="20"/>
      <c r="D60" s="20"/>
      <c r="E60" s="20"/>
      <c r="F60" s="20"/>
      <c r="G60" s="20"/>
      <c r="H60" s="20"/>
      <c r="I60" s="20"/>
      <c r="J60" s="20"/>
      <c r="K60" s="20"/>
      <c r="L60" s="20"/>
      <c r="M60" s="20"/>
      <c r="N60" s="20"/>
      <c r="O60" s="20"/>
      <c r="P60" s="20"/>
      <c r="Q60" s="20"/>
    </row>
    <row r="61" spans="1:17" x14ac:dyDescent="0.25">
      <c r="A61" s="20"/>
      <c r="B61" s="20"/>
      <c r="C61" s="20"/>
      <c r="D61" s="20"/>
      <c r="E61" s="20"/>
      <c r="F61" s="20"/>
      <c r="G61" s="20"/>
      <c r="H61" s="20"/>
      <c r="I61" s="20"/>
      <c r="J61" s="20"/>
      <c r="K61" s="20"/>
      <c r="L61" s="20"/>
      <c r="M61" s="20"/>
      <c r="N61" s="20"/>
      <c r="O61" s="20"/>
      <c r="P61" s="20"/>
      <c r="Q61" s="20"/>
    </row>
    <row r="62" spans="1:17" x14ac:dyDescent="0.25">
      <c r="A62" s="20"/>
      <c r="B62" s="20"/>
      <c r="C62" s="20"/>
      <c r="D62" s="20"/>
      <c r="E62" s="20"/>
      <c r="F62" s="20"/>
      <c r="G62" s="20"/>
      <c r="H62" s="20"/>
      <c r="I62" s="20"/>
      <c r="J62" s="20"/>
      <c r="K62" s="20"/>
      <c r="L62" s="20"/>
      <c r="M62" s="20"/>
      <c r="N62" s="20"/>
      <c r="O62" s="20"/>
      <c r="P62" s="20"/>
      <c r="Q62" s="20"/>
    </row>
    <row r="63" spans="1:17" x14ac:dyDescent="0.25">
      <c r="A63" s="20"/>
      <c r="B63" s="20"/>
      <c r="C63" s="20"/>
      <c r="D63" s="20"/>
      <c r="E63" s="20"/>
      <c r="F63" s="20"/>
      <c r="G63" s="20"/>
      <c r="H63" s="20"/>
      <c r="I63" s="20"/>
      <c r="J63" s="20"/>
      <c r="K63" s="20"/>
      <c r="L63" s="20"/>
      <c r="M63" s="20"/>
      <c r="N63" s="20"/>
      <c r="O63" s="20"/>
      <c r="P63" s="20"/>
      <c r="Q63" s="20"/>
    </row>
    <row r="64" spans="1:17" x14ac:dyDescent="0.25">
      <c r="A64" s="20"/>
      <c r="B64" s="20"/>
      <c r="C64" s="20"/>
      <c r="D64" s="20"/>
      <c r="E64" s="20"/>
      <c r="F64" s="20"/>
      <c r="G64" s="20"/>
      <c r="H64" s="20"/>
      <c r="I64" s="20"/>
      <c r="J64" s="20"/>
      <c r="K64" s="20"/>
      <c r="L64" s="20"/>
      <c r="M64" s="20"/>
      <c r="N64" s="20"/>
      <c r="O64" s="20"/>
      <c r="P64" s="20"/>
      <c r="Q64" s="20"/>
    </row>
    <row r="65" spans="1:17" x14ac:dyDescent="0.25">
      <c r="A65" s="20"/>
      <c r="B65" s="20"/>
      <c r="C65" s="20"/>
      <c r="D65" s="20"/>
      <c r="E65" s="20"/>
      <c r="F65" s="20"/>
      <c r="G65" s="20"/>
      <c r="H65" s="20"/>
      <c r="I65" s="20"/>
      <c r="J65" s="20"/>
      <c r="K65" s="20"/>
      <c r="L65" s="20"/>
      <c r="M65" s="20"/>
      <c r="N65" s="20"/>
      <c r="O65" s="20"/>
      <c r="P65" s="20"/>
      <c r="Q65" s="20"/>
    </row>
    <row r="66" spans="1:17" x14ac:dyDescent="0.25">
      <c r="A66" s="20"/>
      <c r="B66" s="20"/>
      <c r="C66" s="20"/>
      <c r="D66" s="20"/>
      <c r="E66" s="20"/>
      <c r="F66" s="20"/>
      <c r="G66" s="20"/>
      <c r="H66" s="20"/>
      <c r="I66" s="20"/>
      <c r="J66" s="20"/>
      <c r="K66" s="20"/>
      <c r="L66" s="20"/>
      <c r="M66" s="20"/>
      <c r="N66" s="20"/>
      <c r="O66" s="20"/>
      <c r="P66" s="20"/>
      <c r="Q66" s="20"/>
    </row>
    <row r="67" spans="1:17" x14ac:dyDescent="0.25">
      <c r="A67" s="20"/>
      <c r="B67" s="20"/>
      <c r="C67" s="20"/>
      <c r="D67" s="20"/>
      <c r="E67" s="20"/>
      <c r="F67" s="20"/>
      <c r="G67" s="20"/>
      <c r="H67" s="20"/>
      <c r="I67" s="20"/>
      <c r="J67" s="20"/>
      <c r="K67" s="20"/>
      <c r="L67" s="20"/>
      <c r="M67" s="20"/>
      <c r="N67" s="20"/>
      <c r="O67" s="20"/>
      <c r="P67" s="20"/>
      <c r="Q67" s="20"/>
    </row>
    <row r="68" spans="1:17" x14ac:dyDescent="0.25">
      <c r="A68" s="20"/>
      <c r="B68" s="20"/>
      <c r="C68" s="20"/>
      <c r="D68" s="20"/>
      <c r="E68" s="20"/>
      <c r="F68" s="20"/>
      <c r="G68" s="20"/>
      <c r="H68" s="20"/>
      <c r="I68" s="20"/>
      <c r="J68" s="20"/>
      <c r="K68" s="20"/>
      <c r="L68" s="20"/>
      <c r="M68" s="20"/>
      <c r="N68" s="20"/>
      <c r="O68" s="20"/>
      <c r="P68" s="20"/>
      <c r="Q68" s="20"/>
    </row>
    <row r="69" spans="1:17" x14ac:dyDescent="0.25">
      <c r="A69" s="20"/>
      <c r="B69" s="20"/>
      <c r="C69" s="20"/>
      <c r="D69" s="20"/>
      <c r="E69" s="20"/>
      <c r="F69" s="20"/>
      <c r="G69" s="20"/>
      <c r="H69" s="20"/>
      <c r="I69" s="20"/>
      <c r="J69" s="20"/>
      <c r="K69" s="20"/>
      <c r="L69" s="20"/>
      <c r="M69" s="20"/>
      <c r="N69" s="20"/>
      <c r="O69" s="20"/>
      <c r="P69" s="20"/>
      <c r="Q69" s="20"/>
    </row>
    <row r="70" spans="1:17" x14ac:dyDescent="0.25">
      <c r="A70" s="20"/>
      <c r="B70" s="20"/>
      <c r="C70" s="20"/>
      <c r="D70" s="20"/>
      <c r="E70" s="20"/>
      <c r="F70" s="20"/>
      <c r="G70" s="20"/>
      <c r="H70" s="20"/>
      <c r="I70" s="20"/>
      <c r="J70" s="20"/>
      <c r="K70" s="20"/>
      <c r="L70" s="20"/>
      <c r="M70" s="20"/>
      <c r="N70" s="20"/>
      <c r="O70" s="20"/>
      <c r="P70" s="20"/>
      <c r="Q70" s="20"/>
    </row>
    <row r="71" spans="1:17" x14ac:dyDescent="0.25">
      <c r="A71" s="20"/>
      <c r="B71" s="20"/>
      <c r="C71" s="20"/>
      <c r="D71" s="20"/>
      <c r="E71" s="20"/>
      <c r="F71" s="20"/>
      <c r="G71" s="20"/>
      <c r="H71" s="20"/>
      <c r="I71" s="20"/>
      <c r="J71" s="20"/>
      <c r="K71" s="20"/>
      <c r="L71" s="20"/>
      <c r="M71" s="20"/>
      <c r="N71" s="20"/>
      <c r="O71" s="20"/>
      <c r="P71" s="20"/>
      <c r="Q71" s="20"/>
    </row>
    <row r="72" spans="1:17" x14ac:dyDescent="0.25">
      <c r="A72" s="20"/>
      <c r="B72" s="20"/>
      <c r="C72" s="20"/>
      <c r="D72" s="20"/>
      <c r="E72" s="20"/>
      <c r="F72" s="20"/>
      <c r="G72" s="20"/>
      <c r="H72" s="20"/>
      <c r="I72" s="20"/>
      <c r="J72" s="20"/>
      <c r="K72" s="20"/>
      <c r="L72" s="20"/>
      <c r="M72" s="20"/>
      <c r="N72" s="20"/>
      <c r="O72" s="20"/>
      <c r="P72" s="20"/>
      <c r="Q72" s="20"/>
    </row>
    <row r="73" spans="1:17" x14ac:dyDescent="0.25">
      <c r="A73" s="20"/>
      <c r="B73" s="20"/>
      <c r="C73" s="20"/>
      <c r="D73" s="20"/>
      <c r="E73" s="20"/>
      <c r="F73" s="20"/>
      <c r="G73" s="20"/>
      <c r="H73" s="20"/>
      <c r="I73" s="20"/>
      <c r="J73" s="20"/>
      <c r="K73" s="20"/>
      <c r="L73" s="20"/>
      <c r="M73" s="20"/>
      <c r="N73" s="20"/>
      <c r="O73" s="20"/>
      <c r="P73" s="20"/>
      <c r="Q73" s="20"/>
    </row>
    <row r="74" spans="1:17" x14ac:dyDescent="0.25">
      <c r="A74" s="20"/>
      <c r="B74" s="20"/>
      <c r="C74" s="20"/>
      <c r="D74" s="20"/>
      <c r="E74" s="20"/>
      <c r="F74" s="20"/>
      <c r="G74" s="20"/>
      <c r="H74" s="20"/>
      <c r="I74" s="20"/>
      <c r="J74" s="20"/>
      <c r="K74" s="20"/>
      <c r="L74" s="20"/>
      <c r="M74" s="20"/>
      <c r="N74" s="20"/>
      <c r="O74" s="20"/>
      <c r="P74" s="20"/>
      <c r="Q74" s="20"/>
    </row>
    <row r="75" spans="1:17" x14ac:dyDescent="0.25">
      <c r="A75" s="20"/>
      <c r="B75" s="20"/>
      <c r="C75" s="20"/>
      <c r="D75" s="20"/>
      <c r="E75" s="20"/>
      <c r="F75" s="20"/>
      <c r="G75" s="20"/>
      <c r="H75" s="20"/>
      <c r="I75" s="20"/>
      <c r="J75" s="20"/>
      <c r="K75" s="20"/>
      <c r="L75" s="20"/>
      <c r="M75" s="20"/>
      <c r="N75" s="20"/>
      <c r="O75" s="20"/>
      <c r="P75" s="20"/>
      <c r="Q75" s="20"/>
    </row>
    <row r="76" spans="1:17" x14ac:dyDescent="0.25">
      <c r="A76" s="20"/>
      <c r="B76" s="20"/>
      <c r="C76" s="20"/>
      <c r="D76" s="20"/>
      <c r="E76" s="20"/>
      <c r="F76" s="20"/>
      <c r="G76" s="20"/>
      <c r="H76" s="20"/>
      <c r="I76" s="20"/>
      <c r="J76" s="20"/>
      <c r="K76" s="20"/>
      <c r="L76" s="20"/>
      <c r="M76" s="20"/>
      <c r="N76" s="20"/>
      <c r="O76" s="20"/>
      <c r="P76" s="20"/>
      <c r="Q76" s="20"/>
    </row>
    <row r="77" spans="1:17" x14ac:dyDescent="0.25">
      <c r="A77" s="20"/>
      <c r="B77" s="20"/>
      <c r="C77" s="20"/>
      <c r="D77" s="20"/>
      <c r="E77" s="20"/>
      <c r="F77" s="20"/>
      <c r="G77" s="20"/>
      <c r="H77" s="20"/>
      <c r="I77" s="20"/>
      <c r="J77" s="20"/>
      <c r="K77" s="20"/>
      <c r="L77" s="20"/>
      <c r="M77" s="20"/>
      <c r="N77" s="20"/>
      <c r="O77" s="20"/>
      <c r="P77" s="20"/>
      <c r="Q77" s="20"/>
    </row>
    <row r="78" spans="1:17" x14ac:dyDescent="0.25">
      <c r="A78" s="20"/>
      <c r="B78" s="20"/>
      <c r="C78" s="20"/>
      <c r="D78" s="20"/>
      <c r="E78" s="20"/>
      <c r="F78" s="20"/>
      <c r="G78" s="20"/>
      <c r="H78" s="20"/>
      <c r="I78" s="20"/>
      <c r="J78" s="20"/>
      <c r="K78" s="20"/>
      <c r="L78" s="20"/>
      <c r="M78" s="20"/>
      <c r="N78" s="20"/>
      <c r="O78" s="20"/>
      <c r="P78" s="20"/>
      <c r="Q78" s="20"/>
    </row>
    <row r="79" spans="1:17" x14ac:dyDescent="0.25">
      <c r="A79" s="20"/>
      <c r="B79" s="20"/>
      <c r="C79" s="20"/>
      <c r="D79" s="20"/>
      <c r="E79" s="20"/>
      <c r="F79" s="20"/>
      <c r="G79" s="20"/>
      <c r="H79" s="20"/>
      <c r="I79" s="20"/>
      <c r="J79" s="20"/>
      <c r="K79" s="20"/>
      <c r="L79" s="20"/>
      <c r="M79" s="20"/>
      <c r="N79" s="20"/>
      <c r="O79" s="20"/>
      <c r="P79" s="20"/>
      <c r="Q79" s="20"/>
    </row>
    <row r="80" spans="1:17" x14ac:dyDescent="0.25">
      <c r="A80" s="20"/>
      <c r="B80" s="20"/>
      <c r="C80" s="20"/>
      <c r="D80" s="20"/>
      <c r="E80" s="20"/>
      <c r="F80" s="20"/>
      <c r="G80" s="20"/>
      <c r="H80" s="20"/>
      <c r="I80" s="20"/>
      <c r="J80" s="20"/>
      <c r="K80" s="20"/>
      <c r="L80" s="20"/>
      <c r="M80" s="20"/>
      <c r="N80" s="20"/>
      <c r="O80" s="20"/>
      <c r="P80" s="20"/>
      <c r="Q80" s="20"/>
    </row>
    <row r="81" spans="1:17" x14ac:dyDescent="0.25">
      <c r="A81" s="20"/>
      <c r="B81" s="20"/>
      <c r="C81" s="20"/>
      <c r="D81" s="20"/>
      <c r="E81" s="20"/>
      <c r="F81" s="20"/>
      <c r="G81" s="20"/>
      <c r="H81" s="20"/>
      <c r="I81" s="20"/>
      <c r="J81" s="20"/>
      <c r="K81" s="20"/>
      <c r="L81" s="20"/>
      <c r="M81" s="20"/>
      <c r="N81" s="20"/>
      <c r="O81" s="20"/>
      <c r="P81" s="20"/>
      <c r="Q81" s="20"/>
    </row>
    <row r="82" spans="1:17" x14ac:dyDescent="0.25">
      <c r="A82" s="20"/>
      <c r="B82" s="20"/>
      <c r="C82" s="20"/>
      <c r="D82" s="20"/>
      <c r="E82" s="20"/>
      <c r="F82" s="20"/>
      <c r="G82" s="20"/>
      <c r="H82" s="20"/>
      <c r="I82" s="20"/>
      <c r="J82" s="20"/>
      <c r="K82" s="20"/>
      <c r="L82" s="20"/>
      <c r="M82" s="20"/>
      <c r="N82" s="20"/>
      <c r="O82" s="20"/>
      <c r="P82" s="20"/>
      <c r="Q82" s="20"/>
    </row>
    <row r="83" spans="1:17" x14ac:dyDescent="0.25">
      <c r="A83" s="20"/>
      <c r="B83" s="20"/>
      <c r="C83" s="20"/>
      <c r="D83" s="20"/>
      <c r="E83" s="20"/>
      <c r="F83" s="20"/>
      <c r="G83" s="20"/>
      <c r="H83" s="20"/>
      <c r="I83" s="20"/>
      <c r="J83" s="20"/>
      <c r="K83" s="20"/>
      <c r="L83" s="20"/>
      <c r="M83" s="20"/>
      <c r="N83" s="20"/>
      <c r="O83" s="20"/>
      <c r="P83" s="20"/>
      <c r="Q83" s="20"/>
    </row>
    <row r="84" spans="1:17" x14ac:dyDescent="0.25">
      <c r="A84" s="20"/>
      <c r="B84" s="20"/>
      <c r="C84" s="20"/>
      <c r="D84" s="20"/>
      <c r="E84" s="20"/>
      <c r="F84" s="20"/>
      <c r="G84" s="20"/>
      <c r="H84" s="20"/>
      <c r="I84" s="20"/>
      <c r="J84" s="20"/>
      <c r="K84" s="20"/>
      <c r="L84" s="20"/>
      <c r="M84" s="20"/>
      <c r="N84" s="20"/>
      <c r="O84" s="20"/>
      <c r="P84" s="20"/>
      <c r="Q84" s="20"/>
    </row>
    <row r="85" spans="1:17" x14ac:dyDescent="0.25">
      <c r="A85" s="20"/>
      <c r="B85" s="20"/>
      <c r="C85" s="20"/>
      <c r="D85" s="20"/>
      <c r="E85" s="20"/>
      <c r="F85" s="20"/>
      <c r="G85" s="20"/>
      <c r="H85" s="20"/>
      <c r="I85" s="20"/>
      <c r="J85" s="20"/>
      <c r="K85" s="20"/>
      <c r="L85" s="20"/>
      <c r="M85" s="20"/>
      <c r="N85" s="20"/>
      <c r="O85" s="20"/>
      <c r="P85" s="20"/>
      <c r="Q85" s="20"/>
    </row>
    <row r="86" spans="1:17" x14ac:dyDescent="0.25">
      <c r="A86" s="20"/>
      <c r="B86" s="20"/>
      <c r="C86" s="20"/>
      <c r="D86" s="20"/>
      <c r="E86" s="20"/>
      <c r="F86" s="20"/>
      <c r="G86" s="20"/>
      <c r="H86" s="20"/>
      <c r="I86" s="20"/>
      <c r="J86" s="20"/>
      <c r="K86" s="20"/>
      <c r="L86" s="20"/>
      <c r="M86" s="20"/>
      <c r="N86" s="20"/>
      <c r="O86" s="20"/>
      <c r="P86" s="20"/>
      <c r="Q86" s="20"/>
    </row>
    <row r="87" spans="1:17" x14ac:dyDescent="0.25">
      <c r="A87" s="20"/>
      <c r="B87" s="20"/>
      <c r="C87" s="20"/>
      <c r="D87" s="20"/>
      <c r="E87" s="20"/>
      <c r="F87" s="20"/>
      <c r="G87" s="20"/>
      <c r="H87" s="20"/>
      <c r="I87" s="20"/>
      <c r="J87" s="20"/>
      <c r="K87" s="20"/>
      <c r="L87" s="20"/>
      <c r="M87" s="20"/>
      <c r="N87" s="20"/>
      <c r="O87" s="20"/>
      <c r="P87" s="20"/>
      <c r="Q87" s="20"/>
    </row>
    <row r="88" spans="1:17" x14ac:dyDescent="0.25">
      <c r="A88" s="20"/>
      <c r="B88" s="20"/>
      <c r="C88" s="20"/>
      <c r="D88" s="20"/>
      <c r="E88" s="20"/>
      <c r="F88" s="20"/>
      <c r="G88" s="20"/>
      <c r="H88" s="20"/>
      <c r="I88" s="20"/>
      <c r="J88" s="20"/>
      <c r="K88" s="20"/>
      <c r="L88" s="20"/>
      <c r="M88" s="20"/>
      <c r="N88" s="20"/>
      <c r="O88" s="20"/>
      <c r="P88" s="20"/>
      <c r="Q88" s="20"/>
    </row>
    <row r="89" spans="1:17" x14ac:dyDescent="0.25">
      <c r="A89" s="20"/>
      <c r="B89" s="20"/>
      <c r="C89" s="20"/>
      <c r="D89" s="20"/>
      <c r="E89" s="20"/>
      <c r="F89" s="20"/>
      <c r="G89" s="20"/>
      <c r="H89" s="20"/>
      <c r="I89" s="20"/>
      <c r="J89" s="20"/>
      <c r="K89" s="20"/>
      <c r="L89" s="20"/>
      <c r="M89" s="20"/>
      <c r="N89" s="20"/>
      <c r="O89" s="20"/>
      <c r="P89" s="20"/>
      <c r="Q89" s="20"/>
    </row>
    <row r="90" spans="1:17" x14ac:dyDescent="0.25">
      <c r="A90" s="20"/>
      <c r="B90" s="20"/>
      <c r="C90" s="20"/>
      <c r="D90" s="20"/>
      <c r="E90" s="20"/>
      <c r="F90" s="20"/>
      <c r="G90" s="20"/>
      <c r="H90" s="20"/>
      <c r="I90" s="20"/>
      <c r="J90" s="20"/>
      <c r="K90" s="20"/>
      <c r="L90" s="20"/>
      <c r="M90" s="20"/>
      <c r="N90" s="20"/>
      <c r="O90" s="20"/>
      <c r="P90" s="20"/>
      <c r="Q90" s="20"/>
    </row>
    <row r="91" spans="1:17" x14ac:dyDescent="0.25">
      <c r="A91" s="20"/>
      <c r="B91" s="20"/>
      <c r="C91" s="20"/>
      <c r="D91" s="20"/>
      <c r="E91" s="20"/>
      <c r="F91" s="20"/>
      <c r="G91" s="20"/>
      <c r="H91" s="20"/>
      <c r="I91" s="20"/>
      <c r="J91" s="20"/>
      <c r="K91" s="20"/>
      <c r="L91" s="20"/>
      <c r="M91" s="20"/>
      <c r="N91" s="20"/>
      <c r="O91" s="20"/>
      <c r="P91" s="20"/>
      <c r="Q91" s="20"/>
    </row>
    <row r="92" spans="1:17" x14ac:dyDescent="0.25">
      <c r="A92" s="20"/>
      <c r="B92" s="20"/>
      <c r="C92" s="20"/>
      <c r="D92" s="20"/>
      <c r="E92" s="20"/>
      <c r="F92" s="20"/>
      <c r="G92" s="20"/>
      <c r="H92" s="20"/>
      <c r="I92" s="20"/>
      <c r="J92" s="20"/>
      <c r="K92" s="20"/>
      <c r="L92" s="20"/>
      <c r="M92" s="20"/>
      <c r="N92" s="20"/>
      <c r="O92" s="20"/>
      <c r="P92" s="20"/>
      <c r="Q92" s="20"/>
    </row>
    <row r="93" spans="1:17" x14ac:dyDescent="0.25">
      <c r="A93" s="20"/>
      <c r="B93" s="20"/>
      <c r="C93" s="20"/>
      <c r="D93" s="20"/>
      <c r="E93" s="20"/>
      <c r="F93" s="20"/>
      <c r="G93" s="20"/>
      <c r="H93" s="20"/>
      <c r="I93" s="20"/>
      <c r="J93" s="20"/>
      <c r="K93" s="20"/>
      <c r="L93" s="20"/>
      <c r="M93" s="20"/>
      <c r="N93" s="20"/>
      <c r="O93" s="20"/>
      <c r="P93" s="20"/>
      <c r="Q93" s="20"/>
    </row>
    <row r="94" spans="1:17" x14ac:dyDescent="0.25">
      <c r="A94" s="20"/>
      <c r="B94" s="20"/>
      <c r="C94" s="20"/>
      <c r="D94" s="20"/>
      <c r="E94" s="20"/>
      <c r="F94" s="20"/>
      <c r="G94" s="20"/>
      <c r="H94" s="20"/>
      <c r="I94" s="20"/>
      <c r="J94" s="20"/>
      <c r="K94" s="20"/>
      <c r="L94" s="20"/>
      <c r="M94" s="20"/>
      <c r="N94" s="20"/>
      <c r="O94" s="20"/>
      <c r="P94" s="20"/>
      <c r="Q94" s="20"/>
    </row>
    <row r="95" spans="1:17" x14ac:dyDescent="0.25">
      <c r="A95" s="20"/>
      <c r="B95" s="20"/>
      <c r="C95" s="20"/>
      <c r="D95" s="20"/>
      <c r="E95" s="20"/>
      <c r="F95" s="20"/>
      <c r="G95" s="20"/>
      <c r="H95" s="20"/>
      <c r="I95" s="20"/>
      <c r="J95" s="20"/>
      <c r="K95" s="20"/>
      <c r="L95" s="20"/>
      <c r="M95" s="20"/>
      <c r="N95" s="20"/>
      <c r="O95" s="20"/>
      <c r="P95" s="20"/>
      <c r="Q95" s="20"/>
    </row>
    <row r="96" spans="1:17" x14ac:dyDescent="0.25">
      <c r="A96" s="20"/>
      <c r="B96" s="20"/>
      <c r="C96" s="20"/>
      <c r="D96" s="20"/>
      <c r="E96" s="20"/>
      <c r="F96" s="20"/>
      <c r="G96" s="20"/>
      <c r="H96" s="20"/>
      <c r="I96" s="20"/>
      <c r="J96" s="20"/>
      <c r="K96" s="20"/>
      <c r="L96" s="20"/>
      <c r="M96" s="20"/>
      <c r="N96" s="20"/>
      <c r="O96" s="20"/>
      <c r="P96" s="20"/>
      <c r="Q96" s="20"/>
    </row>
    <row r="97" spans="1:17" x14ac:dyDescent="0.25">
      <c r="A97" s="20"/>
      <c r="B97" s="20"/>
      <c r="C97" s="20"/>
      <c r="D97" s="20"/>
      <c r="E97" s="20"/>
      <c r="F97" s="20"/>
      <c r="G97" s="20"/>
      <c r="H97" s="20"/>
      <c r="I97" s="20"/>
      <c r="J97" s="20"/>
      <c r="K97" s="20"/>
      <c r="L97" s="20"/>
      <c r="M97" s="20"/>
      <c r="N97" s="20"/>
      <c r="O97" s="20"/>
      <c r="P97" s="20"/>
      <c r="Q97" s="20"/>
    </row>
    <row r="98" spans="1:17" x14ac:dyDescent="0.25">
      <c r="A98" s="20"/>
      <c r="B98" s="20"/>
      <c r="C98" s="20"/>
      <c r="D98" s="20"/>
      <c r="E98" s="20"/>
      <c r="F98" s="20"/>
      <c r="G98" s="20"/>
      <c r="H98" s="20"/>
      <c r="I98" s="20"/>
      <c r="J98" s="20"/>
      <c r="K98" s="20"/>
      <c r="L98" s="20"/>
      <c r="M98" s="20"/>
      <c r="N98" s="20"/>
      <c r="O98" s="20"/>
      <c r="P98" s="20"/>
      <c r="Q98" s="20"/>
    </row>
    <row r="99" spans="1:17" x14ac:dyDescent="0.25">
      <c r="A99" s="20"/>
      <c r="B99" s="20"/>
      <c r="C99" s="20"/>
      <c r="D99" s="20"/>
      <c r="E99" s="20"/>
      <c r="F99" s="20"/>
      <c r="G99" s="20"/>
      <c r="H99" s="20"/>
      <c r="I99" s="20"/>
      <c r="J99" s="20"/>
      <c r="K99" s="20"/>
      <c r="L99" s="20"/>
      <c r="M99" s="20"/>
      <c r="N99" s="20"/>
      <c r="O99" s="20"/>
      <c r="P99" s="20"/>
      <c r="Q99" s="20"/>
    </row>
    <row r="100" spans="1:17" x14ac:dyDescent="0.25">
      <c r="A100" s="20"/>
      <c r="B100" s="20"/>
      <c r="C100" s="20"/>
      <c r="D100" s="20"/>
      <c r="E100" s="20"/>
      <c r="F100" s="20"/>
      <c r="G100" s="20"/>
      <c r="H100" s="20"/>
      <c r="I100" s="20"/>
      <c r="J100" s="20"/>
      <c r="K100" s="20"/>
      <c r="L100" s="20"/>
      <c r="M100" s="20"/>
      <c r="N100" s="20"/>
      <c r="O100" s="20"/>
      <c r="P100" s="20"/>
      <c r="Q100" s="20"/>
    </row>
    <row r="101" spans="1:17" x14ac:dyDescent="0.25">
      <c r="A101" s="20"/>
      <c r="B101" s="20"/>
      <c r="C101" s="20"/>
      <c r="D101" s="20"/>
      <c r="E101" s="20"/>
      <c r="F101" s="20"/>
      <c r="G101" s="20"/>
      <c r="H101" s="20"/>
      <c r="I101" s="20"/>
      <c r="J101" s="20"/>
      <c r="K101" s="20"/>
      <c r="L101" s="20"/>
      <c r="M101" s="20"/>
      <c r="N101" s="20"/>
      <c r="O101" s="20"/>
      <c r="P101" s="20"/>
      <c r="Q101" s="20"/>
    </row>
    <row r="102" spans="1:17" x14ac:dyDescent="0.25">
      <c r="A102" s="20"/>
      <c r="B102" s="20"/>
      <c r="C102" s="20"/>
      <c r="D102" s="20"/>
      <c r="E102" s="20"/>
      <c r="F102" s="20"/>
      <c r="G102" s="20"/>
      <c r="H102" s="20"/>
      <c r="I102" s="20"/>
      <c r="J102" s="20"/>
      <c r="K102" s="20"/>
      <c r="L102" s="20"/>
      <c r="M102" s="20"/>
      <c r="N102" s="20"/>
      <c r="O102" s="20"/>
      <c r="P102" s="20"/>
      <c r="Q102" s="20"/>
    </row>
    <row r="103" spans="1:17" x14ac:dyDescent="0.25">
      <c r="A103" s="20"/>
      <c r="B103" s="20"/>
      <c r="C103" s="20"/>
      <c r="D103" s="20"/>
      <c r="E103" s="20"/>
      <c r="F103" s="20"/>
      <c r="G103" s="20"/>
      <c r="H103" s="20"/>
      <c r="I103" s="20"/>
      <c r="J103" s="20"/>
      <c r="K103" s="20"/>
      <c r="L103" s="20"/>
      <c r="M103" s="20"/>
      <c r="N103" s="20"/>
      <c r="O103" s="20"/>
      <c r="P103" s="20"/>
      <c r="Q103" s="20"/>
    </row>
    <row r="104" spans="1:17" x14ac:dyDescent="0.25">
      <c r="A104" s="20"/>
      <c r="B104" s="20"/>
      <c r="C104" s="20"/>
      <c r="D104" s="20"/>
      <c r="E104" s="20"/>
      <c r="F104" s="20"/>
      <c r="G104" s="20"/>
      <c r="H104" s="20"/>
      <c r="I104" s="20"/>
      <c r="J104" s="20"/>
      <c r="K104" s="20"/>
      <c r="L104" s="20"/>
      <c r="M104" s="20"/>
      <c r="N104" s="20"/>
      <c r="O104" s="20"/>
      <c r="P104" s="20"/>
      <c r="Q104" s="20"/>
    </row>
    <row r="105" spans="1:17" x14ac:dyDescent="0.25">
      <c r="A105" s="20"/>
      <c r="B105" s="20"/>
      <c r="C105" s="20"/>
      <c r="D105" s="20"/>
      <c r="E105" s="20"/>
      <c r="F105" s="20"/>
      <c r="G105" s="20"/>
      <c r="H105" s="20"/>
      <c r="I105" s="20"/>
      <c r="J105" s="20"/>
      <c r="K105" s="20"/>
      <c r="L105" s="20"/>
      <c r="M105" s="20"/>
      <c r="N105" s="20"/>
      <c r="O105" s="20"/>
      <c r="P105" s="20"/>
      <c r="Q105" s="20"/>
    </row>
    <row r="106" spans="1:17" x14ac:dyDescent="0.25">
      <c r="A106" s="20"/>
      <c r="B106" s="20"/>
      <c r="C106" s="20"/>
      <c r="D106" s="20"/>
      <c r="E106" s="20"/>
      <c r="F106" s="20"/>
      <c r="G106" s="20"/>
      <c r="H106" s="20"/>
      <c r="I106" s="20"/>
      <c r="J106" s="20"/>
      <c r="K106" s="20"/>
      <c r="L106" s="20"/>
      <c r="M106" s="20"/>
      <c r="N106" s="20"/>
      <c r="O106" s="20"/>
      <c r="P106" s="20"/>
      <c r="Q106" s="20"/>
    </row>
    <row r="107" spans="1:17" x14ac:dyDescent="0.25">
      <c r="A107" s="20"/>
      <c r="B107" s="20"/>
      <c r="C107" s="20"/>
      <c r="D107" s="20"/>
      <c r="E107" s="20"/>
      <c r="F107" s="20"/>
      <c r="G107" s="20"/>
      <c r="H107" s="20"/>
      <c r="I107" s="20"/>
      <c r="J107" s="20"/>
      <c r="K107" s="20"/>
      <c r="L107" s="20"/>
      <c r="M107" s="20"/>
      <c r="N107" s="20"/>
      <c r="O107" s="20"/>
      <c r="P107" s="20"/>
      <c r="Q107" s="20"/>
    </row>
    <row r="108" spans="1:17" x14ac:dyDescent="0.25">
      <c r="A108" s="20"/>
      <c r="B108" s="20"/>
      <c r="C108" s="20"/>
      <c r="D108" s="20"/>
      <c r="E108" s="20"/>
      <c r="F108" s="20"/>
      <c r="G108" s="20"/>
      <c r="H108" s="20"/>
      <c r="I108" s="20"/>
      <c r="J108" s="20"/>
      <c r="K108" s="20"/>
      <c r="L108" s="20"/>
      <c r="M108" s="20"/>
      <c r="N108" s="20"/>
      <c r="O108" s="20"/>
      <c r="P108" s="20"/>
      <c r="Q108" s="20"/>
    </row>
    <row r="109" spans="1:17" x14ac:dyDescent="0.25">
      <c r="A109" s="20"/>
      <c r="B109" s="20"/>
      <c r="C109" s="20"/>
      <c r="D109" s="20"/>
      <c r="E109" s="20"/>
      <c r="F109" s="20"/>
      <c r="G109" s="20"/>
      <c r="H109" s="20"/>
      <c r="I109" s="20"/>
      <c r="J109" s="20"/>
      <c r="K109" s="20"/>
      <c r="L109" s="20"/>
      <c r="M109" s="20"/>
      <c r="N109" s="20"/>
      <c r="O109" s="20"/>
      <c r="P109" s="20"/>
      <c r="Q109" s="20"/>
    </row>
    <row r="110" spans="1:17" x14ac:dyDescent="0.25">
      <c r="A110" s="20"/>
      <c r="B110" s="20"/>
      <c r="C110" s="20"/>
      <c r="D110" s="20"/>
      <c r="E110" s="20"/>
      <c r="F110" s="20"/>
      <c r="G110" s="20"/>
      <c r="H110" s="20"/>
      <c r="I110" s="20"/>
      <c r="J110" s="20"/>
      <c r="K110" s="20"/>
      <c r="L110" s="20"/>
      <c r="M110" s="20"/>
      <c r="N110" s="20"/>
      <c r="O110" s="20"/>
      <c r="P110" s="20"/>
      <c r="Q110" s="20"/>
    </row>
    <row r="111" spans="1:17" x14ac:dyDescent="0.25">
      <c r="A111" s="20"/>
      <c r="B111" s="20"/>
      <c r="C111" s="20"/>
      <c r="D111" s="20"/>
      <c r="E111" s="20"/>
      <c r="F111" s="20"/>
      <c r="G111" s="20"/>
      <c r="H111" s="20"/>
      <c r="I111" s="20"/>
      <c r="J111" s="20"/>
      <c r="K111" s="20"/>
      <c r="L111" s="20"/>
      <c r="M111" s="20"/>
      <c r="N111" s="20"/>
      <c r="O111" s="20"/>
      <c r="P111" s="20"/>
      <c r="Q111" s="20"/>
    </row>
    <row r="112" spans="1:17" x14ac:dyDescent="0.25">
      <c r="A112" s="20"/>
      <c r="B112" s="20"/>
      <c r="C112" s="20"/>
      <c r="D112" s="20"/>
      <c r="E112" s="20"/>
      <c r="F112" s="20"/>
      <c r="G112" s="20"/>
      <c r="H112" s="20"/>
      <c r="I112" s="20"/>
      <c r="J112" s="20"/>
      <c r="K112" s="20"/>
      <c r="L112" s="20"/>
      <c r="M112" s="20"/>
      <c r="N112" s="20"/>
      <c r="O112" s="20"/>
      <c r="P112" s="20"/>
      <c r="Q112" s="20"/>
    </row>
    <row r="113" spans="1:17" x14ac:dyDescent="0.25">
      <c r="A113" s="20"/>
      <c r="B113" s="20"/>
      <c r="C113" s="20"/>
      <c r="D113" s="20"/>
      <c r="E113" s="20"/>
      <c r="F113" s="20"/>
      <c r="G113" s="20"/>
      <c r="H113" s="20"/>
      <c r="I113" s="20"/>
      <c r="J113" s="20"/>
      <c r="K113" s="20"/>
      <c r="L113" s="20"/>
      <c r="M113" s="20"/>
      <c r="N113" s="20"/>
      <c r="O113" s="20"/>
      <c r="P113" s="20"/>
      <c r="Q113" s="20"/>
    </row>
    <row r="114" spans="1:17" x14ac:dyDescent="0.25">
      <c r="A114" s="20"/>
      <c r="B114" s="20"/>
      <c r="C114" s="20"/>
      <c r="D114" s="20"/>
      <c r="E114" s="20"/>
      <c r="F114" s="20"/>
      <c r="G114" s="20"/>
      <c r="H114" s="20"/>
      <c r="I114" s="20"/>
      <c r="J114" s="20"/>
      <c r="K114" s="20"/>
      <c r="L114" s="20"/>
      <c r="M114" s="20"/>
      <c r="N114" s="20"/>
      <c r="O114" s="20"/>
      <c r="P114" s="20"/>
      <c r="Q114" s="20"/>
    </row>
    <row r="115" spans="1:17" x14ac:dyDescent="0.25">
      <c r="A115" s="20"/>
      <c r="B115" s="20"/>
      <c r="C115" s="20"/>
      <c r="D115" s="20"/>
      <c r="E115" s="20"/>
      <c r="F115" s="20"/>
      <c r="G115" s="20"/>
      <c r="H115" s="20"/>
      <c r="I115" s="20"/>
      <c r="J115" s="20"/>
      <c r="K115" s="20"/>
      <c r="L115" s="20"/>
      <c r="M115" s="20"/>
      <c r="N115" s="20"/>
      <c r="O115" s="20"/>
      <c r="P115" s="20"/>
      <c r="Q115" s="20"/>
    </row>
    <row r="116" spans="1:17" x14ac:dyDescent="0.25">
      <c r="A116" s="20"/>
      <c r="B116" s="20"/>
      <c r="C116" s="20"/>
      <c r="D116" s="20"/>
      <c r="E116" s="20"/>
      <c r="F116" s="20"/>
      <c r="G116" s="20"/>
      <c r="H116" s="20"/>
      <c r="I116" s="20"/>
      <c r="J116" s="20"/>
      <c r="K116" s="20"/>
      <c r="L116" s="20"/>
      <c r="M116" s="20"/>
      <c r="N116" s="20"/>
      <c r="O116" s="20"/>
      <c r="P116" s="20"/>
      <c r="Q116" s="20"/>
    </row>
    <row r="117" spans="1:17" x14ac:dyDescent="0.25">
      <c r="A117" s="20"/>
      <c r="B117" s="20"/>
      <c r="C117" s="20"/>
      <c r="D117" s="20"/>
      <c r="E117" s="20"/>
      <c r="F117" s="20"/>
      <c r="G117" s="20"/>
      <c r="H117" s="20"/>
      <c r="I117" s="20"/>
      <c r="J117" s="20"/>
      <c r="K117" s="20"/>
      <c r="L117" s="20"/>
      <c r="M117" s="20"/>
      <c r="N117" s="20"/>
      <c r="O117" s="20"/>
      <c r="P117" s="20"/>
      <c r="Q117" s="20"/>
    </row>
    <row r="118" spans="1:17" x14ac:dyDescent="0.25">
      <c r="A118" s="20"/>
      <c r="B118" s="20"/>
      <c r="C118" s="20"/>
      <c r="D118" s="20"/>
      <c r="E118" s="20"/>
      <c r="F118" s="20"/>
      <c r="G118" s="20"/>
      <c r="H118" s="20"/>
      <c r="I118" s="20"/>
      <c r="J118" s="20"/>
      <c r="K118" s="20"/>
      <c r="L118" s="20"/>
      <c r="M118" s="20"/>
      <c r="N118" s="20"/>
      <c r="O118" s="20"/>
      <c r="P118" s="20"/>
      <c r="Q118" s="20"/>
    </row>
    <row r="119" spans="1:17" x14ac:dyDescent="0.25">
      <c r="A119" s="20"/>
      <c r="B119" s="20"/>
      <c r="C119" s="20"/>
      <c r="D119" s="20"/>
      <c r="E119" s="20"/>
      <c r="F119" s="20"/>
      <c r="G119" s="20"/>
      <c r="H119" s="20"/>
      <c r="I119" s="20"/>
      <c r="J119" s="20"/>
      <c r="K119" s="20"/>
      <c r="L119" s="20"/>
      <c r="M119" s="20"/>
      <c r="N119" s="20"/>
      <c r="O119" s="20"/>
      <c r="P119" s="20"/>
      <c r="Q119" s="20"/>
    </row>
    <row r="120" spans="1:17" x14ac:dyDescent="0.25">
      <c r="A120" s="20"/>
      <c r="B120" s="20"/>
      <c r="C120" s="20"/>
      <c r="D120" s="20"/>
      <c r="E120" s="20"/>
      <c r="F120" s="20"/>
      <c r="G120" s="20"/>
      <c r="H120" s="20"/>
      <c r="I120" s="20"/>
      <c r="J120" s="20"/>
      <c r="K120" s="20"/>
      <c r="L120" s="20"/>
      <c r="M120" s="20"/>
      <c r="N120" s="20"/>
      <c r="O120" s="20"/>
      <c r="P120" s="20"/>
      <c r="Q120" s="20"/>
    </row>
    <row r="121" spans="1:17" x14ac:dyDescent="0.25">
      <c r="A121" s="20"/>
      <c r="B121" s="20"/>
      <c r="C121" s="20"/>
      <c r="D121" s="20"/>
      <c r="E121" s="20"/>
      <c r="F121" s="20"/>
      <c r="G121" s="20"/>
      <c r="H121" s="20"/>
      <c r="I121" s="20"/>
      <c r="J121" s="20"/>
      <c r="K121" s="20"/>
      <c r="L121" s="20"/>
      <c r="M121" s="20"/>
      <c r="N121" s="20"/>
      <c r="O121" s="20"/>
      <c r="P121" s="20"/>
      <c r="Q121" s="20"/>
    </row>
    <row r="122" spans="1:17" x14ac:dyDescent="0.25">
      <c r="A122" s="20"/>
      <c r="B122" s="20"/>
      <c r="C122" s="20"/>
      <c r="D122" s="20"/>
      <c r="E122" s="20"/>
      <c r="F122" s="20"/>
      <c r="G122" s="20"/>
      <c r="H122" s="20"/>
      <c r="I122" s="20"/>
      <c r="J122" s="20"/>
      <c r="K122" s="20"/>
      <c r="L122" s="20"/>
      <c r="M122" s="20"/>
      <c r="N122" s="20"/>
      <c r="O122" s="20"/>
      <c r="P122" s="20"/>
      <c r="Q122" s="20"/>
    </row>
    <row r="123" spans="1:17" x14ac:dyDescent="0.25">
      <c r="A123" s="20"/>
      <c r="B123" s="20"/>
      <c r="C123" s="20"/>
      <c r="D123" s="20"/>
      <c r="E123" s="20"/>
      <c r="F123" s="20"/>
      <c r="G123" s="20"/>
      <c r="H123" s="20"/>
      <c r="I123" s="20"/>
      <c r="J123" s="20"/>
      <c r="K123" s="20"/>
      <c r="L123" s="20"/>
      <c r="M123" s="20"/>
      <c r="N123" s="20"/>
      <c r="O123" s="20"/>
      <c r="P123" s="20"/>
      <c r="Q123" s="20"/>
    </row>
    <row r="124" spans="1:17" x14ac:dyDescent="0.25">
      <c r="A124" s="20"/>
      <c r="B124" s="20"/>
      <c r="C124" s="20"/>
      <c r="D124" s="20"/>
      <c r="E124" s="20"/>
      <c r="F124" s="20"/>
      <c r="G124" s="20"/>
      <c r="H124" s="20"/>
      <c r="I124" s="20"/>
      <c r="J124" s="20"/>
      <c r="K124" s="20"/>
      <c r="L124" s="20"/>
      <c r="M124" s="20"/>
      <c r="N124" s="20"/>
      <c r="O124" s="20"/>
      <c r="P124" s="20"/>
      <c r="Q124" s="20"/>
    </row>
    <row r="125" spans="1:17" x14ac:dyDescent="0.25">
      <c r="A125" s="20"/>
      <c r="B125" s="20"/>
      <c r="C125" s="20"/>
      <c r="D125" s="20"/>
      <c r="E125" s="20"/>
      <c r="F125" s="20"/>
      <c r="G125" s="20"/>
      <c r="H125" s="20"/>
      <c r="I125" s="20"/>
      <c r="J125" s="20"/>
      <c r="K125" s="20"/>
      <c r="L125" s="20"/>
      <c r="M125" s="20"/>
      <c r="N125" s="20"/>
      <c r="O125" s="20"/>
      <c r="P125" s="20"/>
      <c r="Q125" s="20"/>
    </row>
    <row r="126" spans="1:17" x14ac:dyDescent="0.25">
      <c r="A126" s="20"/>
      <c r="B126" s="20"/>
      <c r="C126" s="20"/>
      <c r="D126" s="20"/>
      <c r="E126" s="20"/>
      <c r="F126" s="20"/>
      <c r="G126" s="20"/>
      <c r="H126" s="20"/>
      <c r="I126" s="20"/>
      <c r="J126" s="20"/>
      <c r="K126" s="20"/>
      <c r="L126" s="20"/>
      <c r="M126" s="20"/>
      <c r="N126" s="20"/>
      <c r="O126" s="20"/>
      <c r="P126" s="20"/>
      <c r="Q126" s="20"/>
    </row>
    <row r="127" spans="1:17" x14ac:dyDescent="0.25">
      <c r="A127" s="20"/>
      <c r="B127" s="20"/>
      <c r="C127" s="20"/>
      <c r="D127" s="20"/>
      <c r="E127" s="20"/>
      <c r="F127" s="20"/>
      <c r="G127" s="20"/>
      <c r="H127" s="20"/>
      <c r="I127" s="20"/>
      <c r="J127" s="20"/>
      <c r="K127" s="20"/>
      <c r="L127" s="20"/>
      <c r="M127" s="20"/>
      <c r="N127" s="20"/>
      <c r="O127" s="20"/>
      <c r="P127" s="20"/>
      <c r="Q127" s="20"/>
    </row>
    <row r="128" spans="1:17" x14ac:dyDescent="0.25">
      <c r="A128" s="20"/>
      <c r="B128" s="20"/>
      <c r="C128" s="20"/>
      <c r="D128" s="20"/>
      <c r="E128" s="20"/>
      <c r="F128" s="20"/>
      <c r="G128" s="20"/>
      <c r="H128" s="20"/>
      <c r="I128" s="20"/>
      <c r="J128" s="20"/>
      <c r="K128" s="20"/>
      <c r="L128" s="20"/>
      <c r="M128" s="20"/>
      <c r="N128" s="20"/>
      <c r="O128" s="20"/>
      <c r="P128" s="20"/>
      <c r="Q128" s="20"/>
    </row>
    <row r="129" spans="1:17" x14ac:dyDescent="0.25">
      <c r="A129" s="20"/>
      <c r="B129" s="20"/>
      <c r="C129" s="20"/>
      <c r="D129" s="20"/>
      <c r="E129" s="20"/>
      <c r="F129" s="20"/>
      <c r="G129" s="20"/>
      <c r="H129" s="20"/>
      <c r="I129" s="20"/>
      <c r="J129" s="20"/>
      <c r="K129" s="20"/>
      <c r="L129" s="20"/>
      <c r="M129" s="20"/>
      <c r="N129" s="20"/>
      <c r="O129" s="20"/>
      <c r="P129" s="20"/>
      <c r="Q129" s="20"/>
    </row>
    <row r="130" spans="1:17" x14ac:dyDescent="0.25">
      <c r="A130" s="20"/>
      <c r="B130" s="20"/>
      <c r="C130" s="20"/>
      <c r="D130" s="20"/>
      <c r="E130" s="20"/>
      <c r="F130" s="20"/>
      <c r="G130" s="20"/>
      <c r="H130" s="20"/>
      <c r="I130" s="20"/>
      <c r="J130" s="20"/>
      <c r="K130" s="20"/>
      <c r="L130" s="20"/>
      <c r="M130" s="20"/>
      <c r="N130" s="20"/>
      <c r="O130" s="20"/>
      <c r="P130" s="20"/>
      <c r="Q130" s="20"/>
    </row>
    <row r="131" spans="1:17" x14ac:dyDescent="0.25">
      <c r="A131" s="20"/>
      <c r="B131" s="20"/>
      <c r="C131" s="20"/>
      <c r="D131" s="20"/>
      <c r="E131" s="20"/>
      <c r="F131" s="20"/>
      <c r="G131" s="20"/>
      <c r="H131" s="20"/>
      <c r="I131" s="20"/>
      <c r="J131" s="20"/>
      <c r="K131" s="20"/>
      <c r="L131" s="20"/>
      <c r="M131" s="20"/>
      <c r="N131" s="20"/>
      <c r="O131" s="20"/>
      <c r="P131" s="20"/>
      <c r="Q131" s="20"/>
    </row>
    <row r="132" spans="1:17" x14ac:dyDescent="0.25">
      <c r="A132" s="20"/>
      <c r="B132" s="20"/>
      <c r="C132" s="20"/>
      <c r="D132" s="20"/>
      <c r="E132" s="20"/>
      <c r="F132" s="20"/>
      <c r="G132" s="20"/>
      <c r="H132" s="20"/>
      <c r="I132" s="20"/>
      <c r="J132" s="20"/>
      <c r="K132" s="20"/>
      <c r="L132" s="20"/>
      <c r="M132" s="20"/>
      <c r="N132" s="20"/>
      <c r="O132" s="20"/>
      <c r="P132" s="20"/>
      <c r="Q132" s="20"/>
    </row>
    <row r="133" spans="1:17" x14ac:dyDescent="0.25">
      <c r="A133" s="20"/>
      <c r="B133" s="20"/>
      <c r="C133" s="20"/>
      <c r="D133" s="20"/>
      <c r="E133" s="20"/>
      <c r="F133" s="20"/>
      <c r="G133" s="20"/>
      <c r="H133" s="20"/>
      <c r="I133" s="20"/>
      <c r="J133" s="20"/>
      <c r="K133" s="20"/>
      <c r="L133" s="20"/>
      <c r="M133" s="20"/>
      <c r="N133" s="20"/>
      <c r="O133" s="20"/>
      <c r="P133" s="20"/>
      <c r="Q133" s="20"/>
    </row>
    <row r="134" spans="1:17" x14ac:dyDescent="0.25">
      <c r="A134" s="20"/>
      <c r="B134" s="20"/>
      <c r="C134" s="20"/>
      <c r="D134" s="20"/>
      <c r="E134" s="20"/>
      <c r="F134" s="20"/>
      <c r="G134" s="20"/>
      <c r="H134" s="20"/>
      <c r="I134" s="20"/>
      <c r="J134" s="20"/>
      <c r="K134" s="20"/>
      <c r="L134" s="20"/>
      <c r="M134" s="20"/>
      <c r="N134" s="20"/>
      <c r="O134" s="20"/>
      <c r="P134" s="20"/>
      <c r="Q134" s="20"/>
    </row>
    <row r="135" spans="1:17" x14ac:dyDescent="0.25">
      <c r="A135" s="20"/>
      <c r="B135" s="20"/>
      <c r="C135" s="20"/>
      <c r="D135" s="20"/>
      <c r="E135" s="20"/>
      <c r="F135" s="20"/>
      <c r="G135" s="20"/>
      <c r="H135" s="20"/>
      <c r="I135" s="20"/>
      <c r="J135" s="20"/>
      <c r="K135" s="20"/>
      <c r="L135" s="20"/>
      <c r="M135" s="20"/>
      <c r="N135" s="20"/>
      <c r="O135" s="20"/>
      <c r="P135" s="20"/>
      <c r="Q135" s="20"/>
    </row>
    <row r="136" spans="1:17" x14ac:dyDescent="0.25">
      <c r="A136" s="20"/>
      <c r="B136" s="20"/>
      <c r="C136" s="20"/>
      <c r="D136" s="20"/>
      <c r="E136" s="20"/>
      <c r="F136" s="20"/>
      <c r="G136" s="20"/>
      <c r="H136" s="20"/>
      <c r="I136" s="20"/>
      <c r="J136" s="20"/>
      <c r="K136" s="20"/>
      <c r="L136" s="20"/>
      <c r="M136" s="20"/>
      <c r="N136" s="20"/>
      <c r="O136" s="20"/>
      <c r="P136" s="20"/>
      <c r="Q136" s="20"/>
    </row>
    <row r="137" spans="1:17" x14ac:dyDescent="0.25">
      <c r="A137" s="20"/>
      <c r="B137" s="20"/>
      <c r="C137" s="20"/>
      <c r="D137" s="20"/>
      <c r="E137" s="20"/>
      <c r="F137" s="20"/>
      <c r="G137" s="20"/>
      <c r="H137" s="20"/>
      <c r="I137" s="20"/>
      <c r="J137" s="20"/>
      <c r="K137" s="20"/>
      <c r="L137" s="20"/>
      <c r="M137" s="20"/>
      <c r="N137" s="20"/>
      <c r="O137" s="20"/>
      <c r="P137" s="20"/>
      <c r="Q137" s="20"/>
    </row>
    <row r="138" spans="1:17" x14ac:dyDescent="0.25">
      <c r="A138" s="20"/>
      <c r="B138" s="20"/>
      <c r="C138" s="20"/>
      <c r="D138" s="20"/>
      <c r="E138" s="20"/>
      <c r="F138" s="20"/>
      <c r="G138" s="20"/>
      <c r="H138" s="20"/>
      <c r="I138" s="20"/>
      <c r="J138" s="20"/>
      <c r="K138" s="20"/>
      <c r="L138" s="20"/>
      <c r="M138" s="20"/>
      <c r="N138" s="20"/>
      <c r="O138" s="20"/>
      <c r="P138" s="20"/>
      <c r="Q138" s="20"/>
    </row>
    <row r="139" spans="1:17" x14ac:dyDescent="0.25">
      <c r="A139" s="20"/>
      <c r="B139" s="20"/>
      <c r="C139" s="20"/>
      <c r="D139" s="20"/>
      <c r="E139" s="20"/>
      <c r="F139" s="20"/>
      <c r="G139" s="20"/>
      <c r="H139" s="20"/>
      <c r="I139" s="20"/>
      <c r="J139" s="20"/>
      <c r="K139" s="20"/>
      <c r="L139" s="20"/>
      <c r="M139" s="20"/>
      <c r="N139" s="20"/>
      <c r="O139" s="20"/>
      <c r="P139" s="20"/>
      <c r="Q139" s="20"/>
    </row>
    <row r="140" spans="1:17" x14ac:dyDescent="0.25">
      <c r="A140" s="20"/>
      <c r="B140" s="20"/>
      <c r="C140" s="20"/>
      <c r="D140" s="20"/>
      <c r="E140" s="20"/>
      <c r="F140" s="20"/>
      <c r="G140" s="20"/>
      <c r="H140" s="20"/>
      <c r="I140" s="20"/>
      <c r="J140" s="20"/>
      <c r="K140" s="20"/>
      <c r="L140" s="20"/>
      <c r="M140" s="20"/>
      <c r="N140" s="20"/>
      <c r="O140" s="20"/>
      <c r="P140" s="20"/>
      <c r="Q140" s="20"/>
    </row>
    <row r="141" spans="1:17" x14ac:dyDescent="0.25">
      <c r="A141" s="20"/>
      <c r="B141" s="20"/>
      <c r="C141" s="20"/>
      <c r="D141" s="20"/>
      <c r="E141" s="20"/>
      <c r="F141" s="20"/>
      <c r="G141" s="20"/>
      <c r="H141" s="20"/>
      <c r="I141" s="20"/>
      <c r="J141" s="20"/>
      <c r="K141" s="20"/>
      <c r="L141" s="20"/>
      <c r="M141" s="20"/>
      <c r="N141" s="20"/>
      <c r="O141" s="20"/>
      <c r="P141" s="20"/>
      <c r="Q141" s="20"/>
    </row>
    <row r="142" spans="1:17" x14ac:dyDescent="0.25">
      <c r="A142" s="20"/>
      <c r="B142" s="20"/>
      <c r="C142" s="20"/>
      <c r="D142" s="20"/>
      <c r="E142" s="20"/>
      <c r="F142" s="20"/>
      <c r="G142" s="20"/>
      <c r="H142" s="20"/>
      <c r="I142" s="20"/>
      <c r="J142" s="20"/>
      <c r="K142" s="20"/>
      <c r="L142" s="20"/>
      <c r="M142" s="20"/>
      <c r="N142" s="20"/>
      <c r="O142" s="20"/>
      <c r="P142" s="20"/>
      <c r="Q142" s="20"/>
    </row>
    <row r="143" spans="1:17" x14ac:dyDescent="0.25">
      <c r="A143" s="20"/>
      <c r="B143" s="20"/>
      <c r="C143" s="20"/>
      <c r="D143" s="20"/>
      <c r="E143" s="20"/>
      <c r="F143" s="20"/>
      <c r="G143" s="20"/>
      <c r="H143" s="20"/>
      <c r="I143" s="20"/>
      <c r="J143" s="20"/>
      <c r="K143" s="20"/>
      <c r="L143" s="20"/>
      <c r="M143" s="20"/>
      <c r="N143" s="20"/>
      <c r="O143" s="20"/>
      <c r="P143" s="20"/>
      <c r="Q143" s="20"/>
    </row>
    <row r="144" spans="1:17" x14ac:dyDescent="0.25">
      <c r="A144" s="20"/>
      <c r="B144" s="20"/>
      <c r="C144" s="20"/>
      <c r="D144" s="20"/>
      <c r="E144" s="20"/>
      <c r="F144" s="20"/>
      <c r="G144" s="20"/>
      <c r="H144" s="20"/>
      <c r="I144" s="20"/>
      <c r="J144" s="20"/>
      <c r="K144" s="20"/>
      <c r="L144" s="20"/>
      <c r="M144" s="20"/>
      <c r="N144" s="20"/>
      <c r="O144" s="20"/>
      <c r="P144" s="20"/>
      <c r="Q144" s="20"/>
    </row>
    <row r="145" spans="1:17" x14ac:dyDescent="0.25">
      <c r="A145" s="20"/>
      <c r="B145" s="20"/>
      <c r="C145" s="20"/>
      <c r="D145" s="20"/>
      <c r="E145" s="20"/>
      <c r="F145" s="20"/>
      <c r="G145" s="20"/>
      <c r="H145" s="20"/>
      <c r="I145" s="20"/>
      <c r="J145" s="20"/>
      <c r="K145" s="20"/>
      <c r="L145" s="20"/>
      <c r="M145" s="20"/>
      <c r="N145" s="20"/>
      <c r="O145" s="20"/>
      <c r="P145" s="20"/>
      <c r="Q145" s="20"/>
    </row>
    <row r="146" spans="1:17" x14ac:dyDescent="0.25">
      <c r="A146" s="20"/>
      <c r="B146" s="20"/>
      <c r="C146" s="20"/>
      <c r="D146" s="20"/>
      <c r="E146" s="20"/>
      <c r="F146" s="20"/>
      <c r="G146" s="20"/>
      <c r="H146" s="20"/>
      <c r="I146" s="20"/>
      <c r="J146" s="20"/>
      <c r="K146" s="20"/>
      <c r="L146" s="20"/>
      <c r="M146" s="20"/>
      <c r="N146" s="20"/>
      <c r="O146" s="20"/>
      <c r="P146" s="20"/>
      <c r="Q146" s="20"/>
    </row>
    <row r="147" spans="1:17" x14ac:dyDescent="0.25">
      <c r="A147" s="20"/>
      <c r="B147" s="20"/>
      <c r="C147" s="20"/>
      <c r="D147" s="20"/>
      <c r="E147" s="20"/>
      <c r="F147" s="20"/>
      <c r="G147" s="20"/>
      <c r="H147" s="20"/>
      <c r="I147" s="20"/>
      <c r="J147" s="20"/>
      <c r="K147" s="20"/>
      <c r="L147" s="20"/>
      <c r="M147" s="20"/>
      <c r="N147" s="20"/>
      <c r="O147" s="20"/>
      <c r="P147" s="20"/>
      <c r="Q147" s="20"/>
    </row>
    <row r="148" spans="1:17" x14ac:dyDescent="0.25">
      <c r="A148" s="20"/>
      <c r="B148" s="20"/>
      <c r="C148" s="20"/>
      <c r="D148" s="20"/>
      <c r="E148" s="20"/>
      <c r="F148" s="20"/>
      <c r="G148" s="20"/>
      <c r="H148" s="20"/>
      <c r="I148" s="20"/>
      <c r="J148" s="20"/>
      <c r="K148" s="20"/>
      <c r="L148" s="20"/>
      <c r="M148" s="20"/>
      <c r="N148" s="20"/>
      <c r="O148" s="20"/>
      <c r="P148" s="20"/>
      <c r="Q148" s="20"/>
    </row>
    <row r="149" spans="1:17" x14ac:dyDescent="0.25">
      <c r="A149" s="20"/>
      <c r="B149" s="20"/>
      <c r="C149" s="20"/>
      <c r="D149" s="20"/>
      <c r="E149" s="20"/>
      <c r="F149" s="20"/>
      <c r="G149" s="20"/>
      <c r="H149" s="20"/>
      <c r="I149" s="20"/>
      <c r="J149" s="20"/>
      <c r="K149" s="20"/>
      <c r="L149" s="20"/>
      <c r="M149" s="20"/>
      <c r="N149" s="20"/>
      <c r="O149" s="20"/>
      <c r="P149" s="20"/>
      <c r="Q149" s="20"/>
    </row>
    <row r="150" spans="1:17" x14ac:dyDescent="0.25">
      <c r="A150" s="20"/>
      <c r="B150" s="20"/>
      <c r="C150" s="20"/>
      <c r="D150" s="20"/>
      <c r="E150" s="20"/>
      <c r="F150" s="20"/>
      <c r="G150" s="20"/>
      <c r="H150" s="20"/>
      <c r="I150" s="20"/>
      <c r="J150" s="20"/>
      <c r="K150" s="20"/>
      <c r="L150" s="20"/>
      <c r="M150" s="20"/>
      <c r="N150" s="20"/>
      <c r="O150" s="20"/>
      <c r="P150" s="20"/>
      <c r="Q150" s="20"/>
    </row>
    <row r="151" spans="1:17" x14ac:dyDescent="0.25">
      <c r="A151" s="20"/>
      <c r="B151" s="20"/>
      <c r="C151" s="20"/>
      <c r="D151" s="20"/>
      <c r="E151" s="20"/>
      <c r="F151" s="20"/>
      <c r="G151" s="20"/>
      <c r="H151" s="20"/>
      <c r="I151" s="20"/>
      <c r="J151" s="20"/>
      <c r="K151" s="20"/>
      <c r="L151" s="20"/>
      <c r="M151" s="20"/>
      <c r="N151" s="20"/>
      <c r="O151" s="20"/>
      <c r="P151" s="20"/>
      <c r="Q151" s="20"/>
    </row>
    <row r="152" spans="1:17" x14ac:dyDescent="0.25">
      <c r="A152" s="20"/>
      <c r="B152" s="20"/>
      <c r="C152" s="20"/>
      <c r="D152" s="20"/>
      <c r="E152" s="20"/>
      <c r="F152" s="20"/>
      <c r="G152" s="20"/>
      <c r="H152" s="20"/>
      <c r="I152" s="20"/>
      <c r="J152" s="20"/>
      <c r="K152" s="20"/>
      <c r="L152" s="20"/>
      <c r="M152" s="20"/>
      <c r="N152" s="20"/>
      <c r="O152" s="20"/>
      <c r="P152" s="20"/>
      <c r="Q152" s="20"/>
    </row>
    <row r="153" spans="1:17" x14ac:dyDescent="0.25">
      <c r="A153" s="20"/>
      <c r="B153" s="20"/>
      <c r="C153" s="20"/>
      <c r="D153" s="20"/>
      <c r="E153" s="20"/>
      <c r="F153" s="20"/>
      <c r="G153" s="20"/>
      <c r="H153" s="20"/>
      <c r="I153" s="20"/>
      <c r="J153" s="20"/>
      <c r="K153" s="20"/>
      <c r="L153" s="20"/>
      <c r="M153" s="20"/>
      <c r="N153" s="20"/>
      <c r="O153" s="20"/>
      <c r="P153" s="20"/>
      <c r="Q153" s="20"/>
    </row>
    <row r="154" spans="1:17" x14ac:dyDescent="0.25">
      <c r="A154" s="20"/>
      <c r="B154" s="20"/>
      <c r="C154" s="20"/>
      <c r="D154" s="20"/>
      <c r="E154" s="20"/>
      <c r="F154" s="20"/>
      <c r="G154" s="20"/>
      <c r="H154" s="20"/>
      <c r="I154" s="20"/>
      <c r="J154" s="20"/>
      <c r="K154" s="20"/>
      <c r="L154" s="20"/>
      <c r="M154" s="20"/>
      <c r="N154" s="20"/>
      <c r="O154" s="20"/>
      <c r="P154" s="20"/>
      <c r="Q154" s="20"/>
    </row>
    <row r="155" spans="1:17" x14ac:dyDescent="0.25">
      <c r="A155" s="20"/>
      <c r="B155" s="20"/>
      <c r="C155" s="20"/>
      <c r="D155" s="20"/>
      <c r="E155" s="20"/>
      <c r="F155" s="20"/>
      <c r="G155" s="20"/>
      <c r="H155" s="20"/>
      <c r="I155" s="20"/>
      <c r="J155" s="20"/>
      <c r="K155" s="20"/>
      <c r="L155" s="20"/>
      <c r="M155" s="20"/>
      <c r="N155" s="20"/>
      <c r="O155" s="20"/>
      <c r="P155" s="20"/>
      <c r="Q155" s="20"/>
    </row>
    <row r="156" spans="1:17" x14ac:dyDescent="0.25">
      <c r="A156" s="20"/>
      <c r="B156" s="20"/>
      <c r="C156" s="20"/>
      <c r="D156" s="20"/>
      <c r="E156" s="20"/>
      <c r="F156" s="20"/>
      <c r="G156" s="20"/>
      <c r="H156" s="20"/>
      <c r="I156" s="20"/>
      <c r="J156" s="20"/>
      <c r="K156" s="20"/>
      <c r="L156" s="20"/>
      <c r="M156" s="20"/>
      <c r="N156" s="20"/>
      <c r="O156" s="20"/>
      <c r="P156" s="20"/>
      <c r="Q156" s="20"/>
    </row>
    <row r="157" spans="1:17" x14ac:dyDescent="0.25">
      <c r="A157" s="20"/>
      <c r="B157" s="20"/>
      <c r="C157" s="20"/>
      <c r="D157" s="20"/>
      <c r="E157" s="20"/>
      <c r="F157" s="20"/>
      <c r="G157" s="20"/>
      <c r="H157" s="20"/>
      <c r="I157" s="20"/>
      <c r="J157" s="20"/>
      <c r="K157" s="20"/>
      <c r="L157" s="20"/>
      <c r="M157" s="20"/>
      <c r="N157" s="20"/>
      <c r="O157" s="20"/>
      <c r="P157" s="20"/>
      <c r="Q157" s="20"/>
    </row>
    <row r="158" spans="1:17" x14ac:dyDescent="0.25">
      <c r="A158" s="20"/>
      <c r="B158" s="20"/>
      <c r="C158" s="20"/>
      <c r="D158" s="20"/>
      <c r="E158" s="20"/>
      <c r="F158" s="20"/>
      <c r="G158" s="20"/>
      <c r="H158" s="20"/>
      <c r="I158" s="20"/>
      <c r="J158" s="20"/>
      <c r="K158" s="20"/>
      <c r="L158" s="20"/>
      <c r="M158" s="20"/>
      <c r="N158" s="20"/>
      <c r="O158" s="20"/>
      <c r="P158" s="20"/>
      <c r="Q158" s="20"/>
    </row>
    <row r="159" spans="1:17" x14ac:dyDescent="0.25">
      <c r="A159" s="20"/>
      <c r="B159" s="20"/>
      <c r="C159" s="20"/>
      <c r="D159" s="20"/>
      <c r="E159" s="20"/>
      <c r="F159" s="20"/>
      <c r="G159" s="20"/>
      <c r="H159" s="20"/>
      <c r="I159" s="20"/>
      <c r="J159" s="20"/>
      <c r="K159" s="20"/>
      <c r="L159" s="20"/>
      <c r="M159" s="20"/>
      <c r="N159" s="20"/>
      <c r="O159" s="20"/>
      <c r="P159" s="20"/>
      <c r="Q159" s="20"/>
    </row>
    <row r="160" spans="1:17" x14ac:dyDescent="0.25">
      <c r="A160" s="20"/>
      <c r="B160" s="20"/>
      <c r="C160" s="20"/>
      <c r="D160" s="20"/>
      <c r="E160" s="20"/>
      <c r="F160" s="20"/>
      <c r="G160" s="20"/>
      <c r="H160" s="20"/>
      <c r="I160" s="20"/>
      <c r="J160" s="20"/>
      <c r="K160" s="20"/>
      <c r="L160" s="20"/>
      <c r="M160" s="20"/>
      <c r="N160" s="20"/>
      <c r="O160" s="20"/>
      <c r="P160" s="20"/>
      <c r="Q160" s="20"/>
    </row>
    <row r="161" spans="1:17" x14ac:dyDescent="0.25">
      <c r="A161" s="20"/>
      <c r="B161" s="20"/>
      <c r="C161" s="20"/>
      <c r="D161" s="20"/>
      <c r="E161" s="20"/>
      <c r="F161" s="20"/>
      <c r="G161" s="20"/>
      <c r="H161" s="20"/>
      <c r="I161" s="20"/>
      <c r="J161" s="20"/>
      <c r="K161" s="20"/>
      <c r="L161" s="20"/>
      <c r="M161" s="20"/>
      <c r="N161" s="20"/>
      <c r="O161" s="20"/>
      <c r="P161" s="20"/>
      <c r="Q161" s="20"/>
    </row>
    <row r="162" spans="1:17" x14ac:dyDescent="0.25">
      <c r="A162" s="20"/>
      <c r="B162" s="20"/>
      <c r="C162" s="20"/>
      <c r="D162" s="20"/>
      <c r="E162" s="20"/>
      <c r="F162" s="20"/>
      <c r="G162" s="20"/>
      <c r="H162" s="20"/>
      <c r="I162" s="20"/>
      <c r="J162" s="20"/>
      <c r="K162" s="20"/>
      <c r="L162" s="20"/>
      <c r="M162" s="20"/>
      <c r="N162" s="20"/>
      <c r="O162" s="20"/>
      <c r="P162" s="20"/>
      <c r="Q162" s="20"/>
    </row>
    <row r="163" spans="1:17" x14ac:dyDescent="0.25">
      <c r="A163" s="20"/>
      <c r="B163" s="20"/>
      <c r="C163" s="20"/>
      <c r="D163" s="20"/>
      <c r="E163" s="20"/>
      <c r="F163" s="20"/>
      <c r="G163" s="20"/>
      <c r="H163" s="20"/>
      <c r="I163" s="20"/>
      <c r="J163" s="20"/>
      <c r="K163" s="20"/>
      <c r="L163" s="20"/>
      <c r="M163" s="20"/>
      <c r="N163" s="20"/>
      <c r="O163" s="20"/>
      <c r="P163" s="20"/>
      <c r="Q163" s="20"/>
    </row>
    <row r="164" spans="1:17" x14ac:dyDescent="0.25">
      <c r="A164" s="20"/>
      <c r="B164" s="20"/>
      <c r="C164" s="20"/>
      <c r="D164" s="20"/>
      <c r="E164" s="20"/>
      <c r="F164" s="20"/>
      <c r="G164" s="20"/>
      <c r="H164" s="20"/>
      <c r="I164" s="20"/>
      <c r="J164" s="20"/>
      <c r="K164" s="20"/>
      <c r="L164" s="20"/>
      <c r="M164" s="20"/>
      <c r="N164" s="20"/>
      <c r="O164" s="20"/>
      <c r="P164" s="20"/>
      <c r="Q164" s="20"/>
    </row>
    <row r="165" spans="1:17" x14ac:dyDescent="0.25">
      <c r="A165" s="20"/>
      <c r="B165" s="20"/>
      <c r="C165" s="20"/>
      <c r="D165" s="20"/>
      <c r="E165" s="20"/>
      <c r="F165" s="20"/>
      <c r="G165" s="20"/>
      <c r="H165" s="20"/>
      <c r="I165" s="20"/>
      <c r="J165" s="20"/>
      <c r="K165" s="20"/>
      <c r="L165" s="20"/>
      <c r="M165" s="20"/>
      <c r="N165" s="20"/>
      <c r="O165" s="20"/>
      <c r="P165" s="20"/>
      <c r="Q165" s="20"/>
    </row>
    <row r="166" spans="1:17" x14ac:dyDescent="0.25">
      <c r="A166" s="20"/>
      <c r="B166" s="20"/>
      <c r="C166" s="20"/>
      <c r="D166" s="20"/>
      <c r="E166" s="20"/>
      <c r="F166" s="20"/>
      <c r="G166" s="20"/>
      <c r="H166" s="20"/>
      <c r="I166" s="20"/>
      <c r="J166" s="20"/>
      <c r="K166" s="20"/>
      <c r="L166" s="20"/>
      <c r="M166" s="20"/>
      <c r="N166" s="20"/>
      <c r="O166" s="20"/>
      <c r="P166" s="20"/>
      <c r="Q166" s="20"/>
    </row>
    <row r="167" spans="1:17" x14ac:dyDescent="0.25">
      <c r="A167" s="20"/>
      <c r="B167" s="20"/>
      <c r="C167" s="20"/>
      <c r="D167" s="20"/>
      <c r="E167" s="20"/>
      <c r="F167" s="20"/>
      <c r="G167" s="20"/>
      <c r="H167" s="20"/>
      <c r="I167" s="20"/>
      <c r="J167" s="20"/>
      <c r="K167" s="20"/>
      <c r="L167" s="20"/>
      <c r="M167" s="20"/>
      <c r="N167" s="20"/>
      <c r="O167" s="20"/>
      <c r="P167" s="20"/>
      <c r="Q167" s="20"/>
    </row>
    <row r="168" spans="1:17" x14ac:dyDescent="0.25">
      <c r="A168" s="20"/>
      <c r="B168" s="20"/>
      <c r="C168" s="20"/>
      <c r="D168" s="20"/>
      <c r="E168" s="20"/>
      <c r="F168" s="20"/>
      <c r="G168" s="20"/>
      <c r="H168" s="20"/>
      <c r="I168" s="20"/>
      <c r="J168" s="20"/>
      <c r="K168" s="20"/>
      <c r="L168" s="20"/>
      <c r="M168" s="20"/>
      <c r="N168" s="20"/>
      <c r="O168" s="20"/>
      <c r="P168" s="20"/>
      <c r="Q168" s="20"/>
    </row>
    <row r="169" spans="1:17" x14ac:dyDescent="0.25">
      <c r="A169" s="20"/>
      <c r="B169" s="20"/>
      <c r="C169" s="20"/>
      <c r="D169" s="20"/>
      <c r="E169" s="20"/>
      <c r="F169" s="20"/>
      <c r="G169" s="20"/>
      <c r="H169" s="20"/>
      <c r="I169" s="20"/>
      <c r="J169" s="20"/>
      <c r="K169" s="20"/>
      <c r="L169" s="20"/>
      <c r="M169" s="20"/>
      <c r="N169" s="20"/>
      <c r="O169" s="20"/>
      <c r="P169" s="20"/>
      <c r="Q169" s="20"/>
    </row>
    <row r="170" spans="1:17" x14ac:dyDescent="0.25">
      <c r="A170" s="20"/>
      <c r="B170" s="20"/>
      <c r="C170" s="20"/>
      <c r="D170" s="20"/>
      <c r="E170" s="20"/>
      <c r="F170" s="20"/>
      <c r="G170" s="20"/>
      <c r="H170" s="20"/>
      <c r="I170" s="20"/>
      <c r="J170" s="20"/>
      <c r="K170" s="20"/>
      <c r="L170" s="20"/>
      <c r="M170" s="20"/>
      <c r="N170" s="20"/>
      <c r="O170" s="20"/>
      <c r="P170" s="20"/>
      <c r="Q170" s="20"/>
    </row>
    <row r="171" spans="1:17" x14ac:dyDescent="0.25">
      <c r="A171" s="20"/>
      <c r="B171" s="20"/>
      <c r="C171" s="20"/>
      <c r="D171" s="20"/>
      <c r="E171" s="20"/>
      <c r="F171" s="20"/>
      <c r="G171" s="20"/>
      <c r="H171" s="20"/>
      <c r="I171" s="20"/>
      <c r="J171" s="20"/>
      <c r="K171" s="20"/>
      <c r="L171" s="20"/>
      <c r="M171" s="20"/>
      <c r="N171" s="20"/>
      <c r="O171" s="20"/>
      <c r="P171" s="20"/>
      <c r="Q171" s="20"/>
    </row>
    <row r="172" spans="1:17" x14ac:dyDescent="0.25">
      <c r="A172" s="20"/>
      <c r="B172" s="20"/>
      <c r="C172" s="20"/>
      <c r="D172" s="20"/>
      <c r="E172" s="20"/>
      <c r="F172" s="20"/>
      <c r="G172" s="20"/>
      <c r="H172" s="20"/>
      <c r="I172" s="20"/>
      <c r="J172" s="20"/>
      <c r="K172" s="20"/>
      <c r="L172" s="20"/>
      <c r="M172" s="20"/>
      <c r="N172" s="20"/>
      <c r="O172" s="20"/>
      <c r="P172" s="20"/>
      <c r="Q172" s="20"/>
    </row>
    <row r="173" spans="1:17" x14ac:dyDescent="0.25">
      <c r="A173" s="20"/>
      <c r="B173" s="20"/>
      <c r="C173" s="20"/>
      <c r="D173" s="20"/>
      <c r="E173" s="20"/>
      <c r="F173" s="20"/>
      <c r="G173" s="20"/>
      <c r="H173" s="20"/>
      <c r="I173" s="20"/>
      <c r="J173" s="20"/>
      <c r="K173" s="20"/>
      <c r="L173" s="20"/>
      <c r="M173" s="20"/>
      <c r="N173" s="20"/>
      <c r="O173" s="20"/>
      <c r="P173" s="20"/>
      <c r="Q173" s="20"/>
    </row>
    <row r="174" spans="1:17" x14ac:dyDescent="0.25">
      <c r="A174" s="20"/>
      <c r="B174" s="20"/>
      <c r="C174" s="20"/>
      <c r="D174" s="20"/>
      <c r="E174" s="20"/>
      <c r="F174" s="20"/>
      <c r="G174" s="20"/>
      <c r="H174" s="20"/>
      <c r="I174" s="20"/>
      <c r="J174" s="20"/>
      <c r="K174" s="20"/>
      <c r="L174" s="20"/>
      <c r="M174" s="20"/>
      <c r="N174" s="20"/>
      <c r="O174" s="20"/>
      <c r="P174" s="20"/>
      <c r="Q174" s="20"/>
    </row>
    <row r="175" spans="1:17" x14ac:dyDescent="0.25">
      <c r="A175" s="20"/>
      <c r="B175" s="20"/>
      <c r="C175" s="20"/>
      <c r="D175" s="20"/>
      <c r="E175" s="20"/>
      <c r="F175" s="20"/>
      <c r="G175" s="20"/>
      <c r="H175" s="20"/>
      <c r="I175" s="20"/>
      <c r="J175" s="20"/>
      <c r="K175" s="20"/>
      <c r="L175" s="20"/>
      <c r="M175" s="20"/>
      <c r="N175" s="20"/>
      <c r="O175" s="20"/>
      <c r="P175" s="20"/>
      <c r="Q175" s="20"/>
    </row>
    <row r="176" spans="1:17" x14ac:dyDescent="0.25">
      <c r="A176" s="20"/>
      <c r="B176" s="20"/>
      <c r="C176" s="20"/>
      <c r="D176" s="20"/>
      <c r="E176" s="20"/>
      <c r="F176" s="20"/>
      <c r="G176" s="20"/>
      <c r="H176" s="20"/>
      <c r="I176" s="20"/>
      <c r="J176" s="20"/>
      <c r="K176" s="20"/>
      <c r="L176" s="20"/>
      <c r="M176" s="20"/>
      <c r="N176" s="20"/>
      <c r="O176" s="20"/>
      <c r="P176" s="20"/>
      <c r="Q176" s="20"/>
    </row>
    <row r="177" spans="1:17" x14ac:dyDescent="0.25">
      <c r="A177" s="20"/>
      <c r="B177" s="20"/>
      <c r="C177" s="20"/>
      <c r="D177" s="20"/>
      <c r="E177" s="20"/>
      <c r="F177" s="20"/>
      <c r="G177" s="20"/>
      <c r="H177" s="20"/>
      <c r="I177" s="20"/>
      <c r="J177" s="20"/>
      <c r="K177" s="20"/>
      <c r="L177" s="20"/>
      <c r="M177" s="20"/>
      <c r="N177" s="20"/>
      <c r="O177" s="20"/>
      <c r="P177" s="20"/>
      <c r="Q177" s="20"/>
    </row>
    <row r="178" spans="1:17" x14ac:dyDescent="0.25">
      <c r="A178" s="20"/>
      <c r="B178" s="20"/>
      <c r="C178" s="20"/>
      <c r="D178" s="20"/>
      <c r="E178" s="20"/>
      <c r="F178" s="20"/>
      <c r="G178" s="20"/>
      <c r="H178" s="20"/>
      <c r="I178" s="20"/>
      <c r="J178" s="20"/>
      <c r="K178" s="20"/>
      <c r="L178" s="20"/>
      <c r="M178" s="20"/>
      <c r="N178" s="20"/>
      <c r="O178" s="20"/>
      <c r="P178" s="20"/>
      <c r="Q178" s="20"/>
    </row>
    <row r="179" spans="1:17" x14ac:dyDescent="0.25">
      <c r="A179" s="20"/>
      <c r="B179" s="20"/>
      <c r="C179" s="20"/>
      <c r="D179" s="20"/>
      <c r="E179" s="20"/>
      <c r="F179" s="20"/>
      <c r="G179" s="20"/>
      <c r="H179" s="20"/>
      <c r="I179" s="20"/>
      <c r="J179" s="20"/>
      <c r="K179" s="20"/>
      <c r="L179" s="20"/>
      <c r="M179" s="20"/>
      <c r="N179" s="20"/>
      <c r="O179" s="20"/>
      <c r="P179" s="20"/>
      <c r="Q179" s="20"/>
    </row>
    <row r="180" spans="1:17" x14ac:dyDescent="0.25">
      <c r="A180" s="20"/>
      <c r="B180" s="20"/>
      <c r="C180" s="20"/>
      <c r="D180" s="20"/>
      <c r="E180" s="20"/>
      <c r="F180" s="20"/>
      <c r="G180" s="20"/>
      <c r="H180" s="20"/>
      <c r="I180" s="20"/>
      <c r="J180" s="20"/>
      <c r="K180" s="20"/>
      <c r="L180" s="20"/>
      <c r="M180" s="20"/>
      <c r="N180" s="20"/>
      <c r="O180" s="20"/>
      <c r="P180" s="20"/>
      <c r="Q180" s="20"/>
    </row>
    <row r="181" spans="1:17" x14ac:dyDescent="0.25">
      <c r="A181" s="20"/>
      <c r="B181" s="20"/>
      <c r="C181" s="20"/>
      <c r="D181" s="20"/>
      <c r="E181" s="20"/>
      <c r="F181" s="20"/>
      <c r="G181" s="20"/>
      <c r="H181" s="20"/>
      <c r="I181" s="20"/>
      <c r="J181" s="20"/>
      <c r="K181" s="20"/>
      <c r="L181" s="20"/>
      <c r="M181" s="20"/>
      <c r="N181" s="20"/>
      <c r="O181" s="20"/>
      <c r="P181" s="20"/>
      <c r="Q181" s="20"/>
    </row>
    <row r="182" spans="1:17" x14ac:dyDescent="0.25">
      <c r="A182" s="20"/>
      <c r="B182" s="20"/>
      <c r="C182" s="20"/>
      <c r="D182" s="20"/>
      <c r="E182" s="20"/>
      <c r="F182" s="20"/>
      <c r="G182" s="20"/>
      <c r="H182" s="20"/>
      <c r="I182" s="20"/>
      <c r="J182" s="20"/>
      <c r="K182" s="20"/>
      <c r="L182" s="20"/>
      <c r="M182" s="20"/>
      <c r="N182" s="20"/>
      <c r="O182" s="20"/>
      <c r="P182" s="20"/>
      <c r="Q182" s="20"/>
    </row>
    <row r="183" spans="1:17" x14ac:dyDescent="0.25">
      <c r="A183" s="20"/>
      <c r="B183" s="20"/>
      <c r="C183" s="20"/>
      <c r="D183" s="20"/>
      <c r="E183" s="20"/>
      <c r="F183" s="20"/>
      <c r="G183" s="20"/>
      <c r="H183" s="20"/>
      <c r="I183" s="20"/>
      <c r="J183" s="20"/>
      <c r="K183" s="20"/>
      <c r="L183" s="20"/>
      <c r="M183" s="20"/>
      <c r="N183" s="20"/>
      <c r="O183" s="20"/>
      <c r="P183" s="20"/>
      <c r="Q183" s="20"/>
    </row>
    <row r="184" spans="1:17" x14ac:dyDescent="0.25">
      <c r="A184" s="20"/>
      <c r="B184" s="20"/>
      <c r="C184" s="20"/>
      <c r="D184" s="20"/>
      <c r="E184" s="20"/>
      <c r="F184" s="20"/>
      <c r="G184" s="20"/>
      <c r="H184" s="20"/>
      <c r="I184" s="20"/>
      <c r="J184" s="20"/>
      <c r="K184" s="20"/>
      <c r="L184" s="20"/>
      <c r="M184" s="20"/>
      <c r="N184" s="20"/>
      <c r="O184" s="20"/>
      <c r="P184" s="20"/>
      <c r="Q184" s="20"/>
    </row>
    <row r="185" spans="1:17" x14ac:dyDescent="0.25">
      <c r="A185" s="20"/>
      <c r="B185" s="20"/>
      <c r="C185" s="20"/>
      <c r="D185" s="20"/>
      <c r="E185" s="20"/>
      <c r="F185" s="20"/>
      <c r="G185" s="20"/>
      <c r="H185" s="20"/>
      <c r="I185" s="20"/>
      <c r="J185" s="20"/>
      <c r="K185" s="20"/>
      <c r="L185" s="20"/>
      <c r="M185" s="20"/>
      <c r="N185" s="20"/>
      <c r="O185" s="20"/>
      <c r="P185" s="20"/>
      <c r="Q185" s="20"/>
    </row>
    <row r="186" spans="1:17" x14ac:dyDescent="0.25">
      <c r="A186" s="20"/>
      <c r="B186" s="20"/>
      <c r="C186" s="20"/>
      <c r="D186" s="20"/>
      <c r="E186" s="20"/>
      <c r="F186" s="20"/>
      <c r="G186" s="20"/>
      <c r="H186" s="20"/>
      <c r="I186" s="20"/>
      <c r="J186" s="20"/>
      <c r="K186" s="20"/>
      <c r="L186" s="20"/>
      <c r="M186" s="20"/>
      <c r="N186" s="20"/>
      <c r="O186" s="20"/>
      <c r="P186" s="20"/>
      <c r="Q186" s="20"/>
    </row>
    <row r="187" spans="1:17" x14ac:dyDescent="0.25">
      <c r="A187" s="20"/>
      <c r="B187" s="20"/>
      <c r="C187" s="20"/>
      <c r="D187" s="20"/>
      <c r="E187" s="20"/>
      <c r="F187" s="20"/>
      <c r="G187" s="20"/>
      <c r="H187" s="20"/>
      <c r="I187" s="20"/>
      <c r="J187" s="20"/>
      <c r="K187" s="20"/>
      <c r="L187" s="20"/>
      <c r="M187" s="20"/>
      <c r="N187" s="20"/>
      <c r="O187" s="20"/>
      <c r="P187" s="20"/>
      <c r="Q187" s="20"/>
    </row>
    <row r="188" spans="1:17" x14ac:dyDescent="0.25">
      <c r="A188" s="20"/>
      <c r="B188" s="20"/>
      <c r="C188" s="20"/>
      <c r="D188" s="20"/>
      <c r="E188" s="20"/>
      <c r="F188" s="20"/>
      <c r="G188" s="20"/>
      <c r="H188" s="20"/>
      <c r="I188" s="20"/>
      <c r="J188" s="20"/>
      <c r="K188" s="20"/>
      <c r="L188" s="20"/>
      <c r="M188" s="20"/>
      <c r="N188" s="20"/>
      <c r="O188" s="20"/>
      <c r="P188" s="20"/>
      <c r="Q188" s="20"/>
    </row>
    <row r="189" spans="1:17" x14ac:dyDescent="0.25">
      <c r="A189" s="20"/>
      <c r="B189" s="20"/>
      <c r="C189" s="20"/>
      <c r="D189" s="20"/>
      <c r="E189" s="20"/>
      <c r="F189" s="20"/>
      <c r="G189" s="20"/>
      <c r="H189" s="20"/>
      <c r="I189" s="20"/>
      <c r="J189" s="20"/>
      <c r="K189" s="20"/>
      <c r="L189" s="20"/>
      <c r="M189" s="20"/>
      <c r="N189" s="20"/>
      <c r="O189" s="20"/>
      <c r="P189" s="20"/>
      <c r="Q189" s="20"/>
    </row>
    <row r="190" spans="1:17" x14ac:dyDescent="0.25">
      <c r="A190" s="20"/>
      <c r="B190" s="20"/>
      <c r="C190" s="20"/>
      <c r="D190" s="20"/>
      <c r="E190" s="20"/>
      <c r="F190" s="20"/>
      <c r="G190" s="20"/>
      <c r="H190" s="20"/>
      <c r="I190" s="20"/>
      <c r="J190" s="20"/>
      <c r="K190" s="20"/>
      <c r="L190" s="20"/>
      <c r="M190" s="20"/>
      <c r="N190" s="20"/>
      <c r="O190" s="20"/>
      <c r="P190" s="20"/>
      <c r="Q190" s="20"/>
    </row>
    <row r="191" spans="1:17" x14ac:dyDescent="0.25">
      <c r="A191" s="20"/>
      <c r="B191" s="20"/>
      <c r="C191" s="20"/>
      <c r="D191" s="20"/>
      <c r="E191" s="20"/>
      <c r="F191" s="20"/>
      <c r="G191" s="20"/>
      <c r="H191" s="20"/>
      <c r="I191" s="20"/>
      <c r="J191" s="20"/>
      <c r="K191" s="20"/>
      <c r="L191" s="20"/>
      <c r="M191" s="20"/>
      <c r="N191" s="20"/>
      <c r="O191" s="20"/>
      <c r="P191" s="20"/>
      <c r="Q191" s="20"/>
    </row>
    <row r="192" spans="1:17" x14ac:dyDescent="0.25">
      <c r="A192" s="20"/>
      <c r="B192" s="20"/>
      <c r="C192" s="20"/>
      <c r="D192" s="20"/>
      <c r="E192" s="20"/>
      <c r="F192" s="20"/>
      <c r="G192" s="20"/>
      <c r="H192" s="20"/>
      <c r="I192" s="20"/>
      <c r="J192" s="20"/>
      <c r="K192" s="20"/>
      <c r="L192" s="20"/>
      <c r="M192" s="20"/>
      <c r="N192" s="20"/>
      <c r="O192" s="20"/>
      <c r="P192" s="20"/>
      <c r="Q192" s="20"/>
    </row>
    <row r="193" spans="1:17" x14ac:dyDescent="0.25">
      <c r="A193" s="20"/>
      <c r="B193" s="20"/>
      <c r="C193" s="20"/>
      <c r="D193" s="20"/>
      <c r="E193" s="20"/>
      <c r="F193" s="20"/>
      <c r="G193" s="20"/>
      <c r="H193" s="20"/>
      <c r="I193" s="20"/>
      <c r="J193" s="20"/>
      <c r="K193" s="20"/>
      <c r="L193" s="20"/>
      <c r="M193" s="20"/>
      <c r="N193" s="20"/>
      <c r="O193" s="20"/>
      <c r="P193" s="20"/>
      <c r="Q193" s="20"/>
    </row>
    <row r="194" spans="1:17" x14ac:dyDescent="0.25">
      <c r="A194" s="20"/>
      <c r="B194" s="20"/>
      <c r="C194" s="20"/>
      <c r="D194" s="20"/>
      <c r="E194" s="20"/>
      <c r="F194" s="20"/>
      <c r="G194" s="20"/>
      <c r="H194" s="20"/>
      <c r="I194" s="20"/>
      <c r="J194" s="20"/>
      <c r="K194" s="20"/>
      <c r="L194" s="20"/>
      <c r="M194" s="20"/>
      <c r="N194" s="20"/>
      <c r="O194" s="20"/>
      <c r="P194" s="20"/>
      <c r="Q194" s="20"/>
    </row>
    <row r="195" spans="1:17" x14ac:dyDescent="0.25">
      <c r="A195" s="20"/>
      <c r="B195" s="20"/>
      <c r="C195" s="20"/>
      <c r="D195" s="20"/>
      <c r="E195" s="20"/>
      <c r="F195" s="20"/>
      <c r="G195" s="20"/>
      <c r="H195" s="20"/>
      <c r="I195" s="20"/>
      <c r="J195" s="20"/>
      <c r="K195" s="20"/>
      <c r="L195" s="20"/>
      <c r="M195" s="20"/>
      <c r="N195" s="20"/>
      <c r="O195" s="20"/>
      <c r="P195" s="20"/>
      <c r="Q195" s="20"/>
    </row>
    <row r="196" spans="1:17" x14ac:dyDescent="0.25">
      <c r="A196" s="20"/>
      <c r="B196" s="20"/>
      <c r="C196" s="20"/>
      <c r="D196" s="20"/>
      <c r="E196" s="20"/>
      <c r="F196" s="20"/>
      <c r="G196" s="20"/>
      <c r="H196" s="20"/>
      <c r="I196" s="20"/>
      <c r="J196" s="20"/>
      <c r="K196" s="20"/>
      <c r="L196" s="20"/>
      <c r="M196" s="20"/>
      <c r="N196" s="20"/>
      <c r="O196" s="20"/>
      <c r="P196" s="20"/>
      <c r="Q196" s="20"/>
    </row>
    <row r="197" spans="1:17" x14ac:dyDescent="0.25">
      <c r="A197" s="20"/>
      <c r="B197" s="20"/>
      <c r="C197" s="20"/>
      <c r="D197" s="20"/>
      <c r="E197" s="20"/>
      <c r="F197" s="20"/>
      <c r="G197" s="20"/>
      <c r="H197" s="20"/>
      <c r="I197" s="20"/>
      <c r="J197" s="20"/>
      <c r="K197" s="20"/>
      <c r="L197" s="20"/>
      <c r="M197" s="20"/>
      <c r="N197" s="20"/>
      <c r="O197" s="20"/>
      <c r="P197" s="20"/>
      <c r="Q197" s="20"/>
    </row>
    <row r="198" spans="1:17" x14ac:dyDescent="0.25">
      <c r="A198" s="20"/>
      <c r="B198" s="20"/>
      <c r="C198" s="20"/>
      <c r="D198" s="20"/>
      <c r="E198" s="20"/>
      <c r="F198" s="20"/>
      <c r="G198" s="20"/>
      <c r="H198" s="20"/>
      <c r="I198" s="20"/>
      <c r="J198" s="20"/>
      <c r="K198" s="20"/>
      <c r="L198" s="20"/>
      <c r="M198" s="20"/>
      <c r="N198" s="20"/>
      <c r="O198" s="20"/>
      <c r="P198" s="20"/>
      <c r="Q198" s="20"/>
    </row>
    <row r="199" spans="1:17" x14ac:dyDescent="0.25">
      <c r="A199" s="20"/>
      <c r="B199" s="20"/>
      <c r="C199" s="20"/>
      <c r="D199" s="20"/>
      <c r="E199" s="20"/>
      <c r="F199" s="20"/>
      <c r="G199" s="20"/>
      <c r="H199" s="20"/>
      <c r="I199" s="20"/>
      <c r="J199" s="20"/>
      <c r="K199" s="20"/>
      <c r="L199" s="20"/>
      <c r="M199" s="20"/>
      <c r="N199" s="20"/>
      <c r="O199" s="20"/>
      <c r="P199" s="20"/>
      <c r="Q199" s="20"/>
    </row>
    <row r="200" spans="1:17" x14ac:dyDescent="0.25">
      <c r="A200" s="20"/>
      <c r="B200" s="20"/>
      <c r="C200" s="20"/>
      <c r="D200" s="20"/>
      <c r="E200" s="20"/>
      <c r="F200" s="20"/>
      <c r="G200" s="20"/>
      <c r="H200" s="20"/>
      <c r="I200" s="20"/>
      <c r="J200" s="20"/>
      <c r="K200" s="20"/>
      <c r="L200" s="20"/>
      <c r="M200" s="20"/>
      <c r="N200" s="20"/>
      <c r="O200" s="20"/>
      <c r="P200" s="20"/>
      <c r="Q200" s="20"/>
    </row>
    <row r="201" spans="1:17" x14ac:dyDescent="0.25">
      <c r="A201" s="20"/>
      <c r="B201" s="20"/>
      <c r="C201" s="20"/>
      <c r="D201" s="20"/>
      <c r="E201" s="20"/>
      <c r="F201" s="20"/>
      <c r="G201" s="20"/>
      <c r="H201" s="20"/>
      <c r="I201" s="20"/>
      <c r="J201" s="20"/>
      <c r="K201" s="20"/>
      <c r="L201" s="20"/>
      <c r="M201" s="20"/>
      <c r="N201" s="20"/>
      <c r="O201" s="20"/>
      <c r="P201" s="20"/>
      <c r="Q201" s="20"/>
    </row>
    <row r="202" spans="1:17" x14ac:dyDescent="0.25">
      <c r="A202" s="20"/>
      <c r="B202" s="20"/>
      <c r="C202" s="20"/>
      <c r="D202" s="20"/>
      <c r="E202" s="20"/>
      <c r="F202" s="20"/>
      <c r="G202" s="20"/>
      <c r="H202" s="20"/>
      <c r="I202" s="20"/>
      <c r="J202" s="20"/>
      <c r="K202" s="20"/>
      <c r="L202" s="20"/>
      <c r="M202" s="20"/>
      <c r="N202" s="20"/>
      <c r="O202" s="20"/>
      <c r="P202" s="20"/>
      <c r="Q202" s="20"/>
    </row>
    <row r="203" spans="1:17" x14ac:dyDescent="0.25">
      <c r="A203" s="20"/>
      <c r="B203" s="20"/>
      <c r="C203" s="20"/>
      <c r="D203" s="20"/>
      <c r="E203" s="20"/>
      <c r="F203" s="20"/>
      <c r="G203" s="20"/>
      <c r="H203" s="20"/>
      <c r="I203" s="20"/>
      <c r="J203" s="20"/>
      <c r="K203" s="20"/>
      <c r="L203" s="20"/>
      <c r="M203" s="20"/>
      <c r="N203" s="20"/>
      <c r="O203" s="20"/>
      <c r="P203" s="20"/>
      <c r="Q203" s="20"/>
    </row>
    <row r="204" spans="1:17" x14ac:dyDescent="0.25">
      <c r="A204" s="20"/>
      <c r="B204" s="20"/>
      <c r="C204" s="20"/>
      <c r="D204" s="20"/>
      <c r="E204" s="20"/>
      <c r="F204" s="20"/>
      <c r="G204" s="20"/>
      <c r="H204" s="20"/>
      <c r="I204" s="20"/>
      <c r="J204" s="20"/>
      <c r="K204" s="20"/>
      <c r="L204" s="20"/>
      <c r="M204" s="20"/>
      <c r="N204" s="20"/>
      <c r="O204" s="20"/>
      <c r="P204" s="20"/>
      <c r="Q204" s="20"/>
    </row>
    <row r="205" spans="1:17" x14ac:dyDescent="0.25">
      <c r="A205" s="20"/>
      <c r="B205" s="20"/>
      <c r="C205" s="20"/>
      <c r="D205" s="20"/>
      <c r="E205" s="20"/>
      <c r="F205" s="20"/>
      <c r="G205" s="20"/>
      <c r="H205" s="20"/>
      <c r="I205" s="20"/>
      <c r="J205" s="20"/>
      <c r="K205" s="20"/>
      <c r="L205" s="20"/>
      <c r="M205" s="20"/>
      <c r="N205" s="20"/>
      <c r="O205" s="20"/>
      <c r="P205" s="20"/>
      <c r="Q205" s="20"/>
    </row>
    <row r="206" spans="1:17" x14ac:dyDescent="0.25">
      <c r="A206" s="20"/>
      <c r="B206" s="20"/>
      <c r="C206" s="20"/>
      <c r="D206" s="20"/>
      <c r="E206" s="20"/>
      <c r="F206" s="20"/>
      <c r="G206" s="20"/>
      <c r="H206" s="20"/>
      <c r="I206" s="20"/>
      <c r="J206" s="20"/>
      <c r="K206" s="20"/>
      <c r="L206" s="20"/>
      <c r="M206" s="20"/>
      <c r="N206" s="20"/>
      <c r="O206" s="20"/>
      <c r="P206" s="20"/>
      <c r="Q206" s="20"/>
    </row>
    <row r="207" spans="1:17" x14ac:dyDescent="0.25">
      <c r="A207" s="20"/>
      <c r="B207" s="20"/>
      <c r="C207" s="20"/>
      <c r="D207" s="20"/>
      <c r="E207" s="20"/>
      <c r="F207" s="20"/>
      <c r="G207" s="20"/>
      <c r="H207" s="20"/>
      <c r="I207" s="20"/>
      <c r="J207" s="20"/>
      <c r="K207" s="20"/>
      <c r="L207" s="20"/>
      <c r="M207" s="20"/>
      <c r="N207" s="20"/>
      <c r="O207" s="20"/>
      <c r="P207" s="20"/>
      <c r="Q207" s="20"/>
    </row>
    <row r="208" spans="1:17" x14ac:dyDescent="0.25">
      <c r="A208" s="20"/>
      <c r="B208" s="20"/>
      <c r="C208" s="20"/>
      <c r="D208" s="20"/>
      <c r="E208" s="20"/>
      <c r="F208" s="20"/>
      <c r="G208" s="20"/>
      <c r="H208" s="20"/>
      <c r="I208" s="20"/>
      <c r="J208" s="20"/>
      <c r="K208" s="20"/>
      <c r="L208" s="20"/>
      <c r="M208" s="20"/>
      <c r="N208" s="20"/>
      <c r="O208" s="20"/>
      <c r="P208" s="20"/>
      <c r="Q208" s="20"/>
    </row>
    <row r="209" spans="1:17" x14ac:dyDescent="0.25">
      <c r="A209" s="20"/>
      <c r="B209" s="20"/>
      <c r="C209" s="20"/>
      <c r="D209" s="20"/>
      <c r="E209" s="20"/>
      <c r="F209" s="20"/>
      <c r="G209" s="20"/>
      <c r="H209" s="20"/>
      <c r="I209" s="20"/>
      <c r="J209" s="20"/>
      <c r="K209" s="20"/>
      <c r="L209" s="20"/>
      <c r="M209" s="20"/>
      <c r="N209" s="20"/>
      <c r="O209" s="20"/>
      <c r="P209" s="20"/>
      <c r="Q209" s="20"/>
    </row>
    <row r="210" spans="1:17" x14ac:dyDescent="0.25">
      <c r="A210" s="20"/>
      <c r="B210" s="20"/>
      <c r="C210" s="20"/>
      <c r="D210" s="20"/>
      <c r="E210" s="20"/>
      <c r="F210" s="20"/>
      <c r="G210" s="20"/>
      <c r="H210" s="20"/>
      <c r="I210" s="20"/>
      <c r="J210" s="20"/>
      <c r="K210" s="20"/>
      <c r="L210" s="20"/>
      <c r="M210" s="20"/>
      <c r="N210" s="20"/>
      <c r="O210" s="20"/>
      <c r="P210" s="20"/>
      <c r="Q210" s="20"/>
    </row>
    <row r="211" spans="1:17" x14ac:dyDescent="0.25">
      <c r="A211" s="20"/>
      <c r="B211" s="20"/>
      <c r="C211" s="20"/>
      <c r="D211" s="20"/>
      <c r="E211" s="20"/>
      <c r="F211" s="20"/>
      <c r="G211" s="20"/>
      <c r="H211" s="20"/>
      <c r="I211" s="20"/>
      <c r="J211" s="20"/>
      <c r="K211" s="20"/>
      <c r="L211" s="20"/>
      <c r="M211" s="20"/>
      <c r="N211" s="20"/>
      <c r="O211" s="20"/>
      <c r="P211" s="20"/>
      <c r="Q211" s="20"/>
    </row>
    <row r="212" spans="1:17" x14ac:dyDescent="0.25">
      <c r="A212" s="20"/>
      <c r="B212" s="20"/>
      <c r="C212" s="20"/>
      <c r="D212" s="20"/>
      <c r="E212" s="20"/>
      <c r="F212" s="20"/>
      <c r="G212" s="20"/>
      <c r="H212" s="20"/>
      <c r="I212" s="20"/>
      <c r="J212" s="20"/>
      <c r="K212" s="20"/>
      <c r="L212" s="20"/>
      <c r="M212" s="20"/>
      <c r="N212" s="20"/>
      <c r="O212" s="20"/>
      <c r="P212" s="20"/>
      <c r="Q212" s="20"/>
    </row>
    <row r="213" spans="1:17" x14ac:dyDescent="0.25">
      <c r="A213" s="20"/>
      <c r="B213" s="20"/>
      <c r="C213" s="20"/>
      <c r="D213" s="20"/>
      <c r="E213" s="20"/>
      <c r="F213" s="20"/>
      <c r="G213" s="20"/>
      <c r="H213" s="20"/>
      <c r="I213" s="20"/>
      <c r="J213" s="20"/>
      <c r="K213" s="20"/>
      <c r="L213" s="20"/>
      <c r="M213" s="20"/>
      <c r="N213" s="20"/>
      <c r="O213" s="20"/>
      <c r="P213" s="20"/>
      <c r="Q213" s="20"/>
    </row>
    <row r="214" spans="1:17" x14ac:dyDescent="0.25">
      <c r="A214" s="20"/>
      <c r="B214" s="20"/>
      <c r="C214" s="20"/>
      <c r="D214" s="20"/>
      <c r="E214" s="20"/>
      <c r="F214" s="20"/>
      <c r="G214" s="20"/>
      <c r="H214" s="20"/>
      <c r="I214" s="20"/>
      <c r="J214" s="20"/>
      <c r="K214" s="20"/>
      <c r="L214" s="20"/>
      <c r="M214" s="20"/>
      <c r="N214" s="20"/>
      <c r="O214" s="20"/>
      <c r="P214" s="20"/>
      <c r="Q214" s="20"/>
    </row>
    <row r="215" spans="1:17" x14ac:dyDescent="0.25">
      <c r="A215" s="20"/>
      <c r="B215" s="20"/>
      <c r="C215" s="20"/>
      <c r="D215" s="20"/>
      <c r="E215" s="20"/>
      <c r="F215" s="20"/>
      <c r="G215" s="20"/>
      <c r="H215" s="20"/>
      <c r="I215" s="20"/>
      <c r="J215" s="20"/>
      <c r="K215" s="20"/>
      <c r="L215" s="20"/>
      <c r="M215" s="20"/>
      <c r="N215" s="20"/>
      <c r="O215" s="20"/>
      <c r="P215" s="20"/>
      <c r="Q215" s="20"/>
    </row>
    <row r="216" spans="1:17" x14ac:dyDescent="0.25">
      <c r="A216" s="20"/>
      <c r="B216" s="20"/>
      <c r="C216" s="20"/>
      <c r="D216" s="20"/>
      <c r="E216" s="20"/>
      <c r="F216" s="20"/>
      <c r="G216" s="20"/>
      <c r="H216" s="20"/>
      <c r="I216" s="20"/>
      <c r="J216" s="20"/>
      <c r="K216" s="20"/>
      <c r="L216" s="20"/>
      <c r="M216" s="20"/>
      <c r="N216" s="20"/>
      <c r="O216" s="20"/>
      <c r="P216" s="20"/>
      <c r="Q216" s="20"/>
    </row>
    <row r="217" spans="1:17" x14ac:dyDescent="0.25">
      <c r="A217" s="20"/>
      <c r="B217" s="20"/>
      <c r="C217" s="20"/>
      <c r="D217" s="20"/>
      <c r="E217" s="20"/>
      <c r="F217" s="20"/>
      <c r="G217" s="20"/>
      <c r="H217" s="20"/>
      <c r="I217" s="20"/>
      <c r="J217" s="20"/>
      <c r="K217" s="20"/>
      <c r="L217" s="20"/>
      <c r="M217" s="20"/>
      <c r="N217" s="20"/>
      <c r="O217" s="20"/>
      <c r="P217" s="20"/>
      <c r="Q217" s="20"/>
    </row>
    <row r="218" spans="1:17" x14ac:dyDescent="0.25">
      <c r="A218" s="20"/>
      <c r="B218" s="20"/>
      <c r="C218" s="20"/>
      <c r="D218" s="20"/>
      <c r="E218" s="20"/>
      <c r="F218" s="20"/>
      <c r="G218" s="20"/>
      <c r="H218" s="20"/>
      <c r="I218" s="20"/>
      <c r="J218" s="20"/>
      <c r="K218" s="20"/>
      <c r="L218" s="20"/>
      <c r="M218" s="20"/>
      <c r="N218" s="20"/>
      <c r="O218" s="20"/>
      <c r="P218" s="20"/>
      <c r="Q218" s="20"/>
    </row>
    <row r="219" spans="1:17" x14ac:dyDescent="0.25">
      <c r="A219" s="20"/>
      <c r="B219" s="20"/>
      <c r="C219" s="20"/>
      <c r="D219" s="20"/>
      <c r="E219" s="20"/>
      <c r="F219" s="20"/>
      <c r="G219" s="20"/>
      <c r="H219" s="20"/>
      <c r="I219" s="20"/>
      <c r="J219" s="20"/>
      <c r="K219" s="20"/>
      <c r="L219" s="20"/>
      <c r="M219" s="20"/>
      <c r="N219" s="20"/>
      <c r="O219" s="20"/>
      <c r="P219" s="20"/>
      <c r="Q219" s="20"/>
    </row>
    <row r="220" spans="1:17" x14ac:dyDescent="0.25">
      <c r="A220" s="20"/>
      <c r="B220" s="20"/>
      <c r="C220" s="20"/>
      <c r="D220" s="20"/>
      <c r="E220" s="20"/>
      <c r="F220" s="20"/>
      <c r="G220" s="20"/>
      <c r="H220" s="20"/>
      <c r="I220" s="20"/>
      <c r="J220" s="20"/>
      <c r="K220" s="20"/>
      <c r="L220" s="20"/>
      <c r="M220" s="20"/>
      <c r="N220" s="20"/>
      <c r="O220" s="20"/>
      <c r="P220" s="20"/>
      <c r="Q220" s="20"/>
    </row>
    <row r="221" spans="1:17" x14ac:dyDescent="0.25">
      <c r="A221" s="20"/>
      <c r="B221" s="20"/>
      <c r="C221" s="20"/>
      <c r="D221" s="20"/>
      <c r="E221" s="20"/>
      <c r="F221" s="20"/>
      <c r="G221" s="20"/>
      <c r="H221" s="20"/>
      <c r="I221" s="20"/>
      <c r="J221" s="20"/>
      <c r="K221" s="20"/>
      <c r="L221" s="20"/>
      <c r="M221" s="20"/>
      <c r="N221" s="20"/>
      <c r="O221" s="20"/>
      <c r="P221" s="20"/>
      <c r="Q221" s="20"/>
    </row>
    <row r="222" spans="1:17" x14ac:dyDescent="0.25">
      <c r="A222" s="20"/>
      <c r="B222" s="20"/>
      <c r="C222" s="20"/>
      <c r="D222" s="20"/>
      <c r="E222" s="20"/>
      <c r="F222" s="20"/>
      <c r="G222" s="20"/>
      <c r="H222" s="20"/>
      <c r="I222" s="20"/>
      <c r="J222" s="20"/>
      <c r="K222" s="20"/>
      <c r="L222" s="20"/>
      <c r="M222" s="20"/>
      <c r="N222" s="20"/>
      <c r="O222" s="20"/>
      <c r="P222" s="20"/>
      <c r="Q222" s="20"/>
    </row>
    <row r="223" spans="1:17" x14ac:dyDescent="0.25">
      <c r="A223" s="20"/>
      <c r="B223" s="20"/>
      <c r="C223" s="20"/>
      <c r="D223" s="20"/>
      <c r="E223" s="20"/>
      <c r="F223" s="20"/>
      <c r="G223" s="20"/>
      <c r="H223" s="20"/>
      <c r="I223" s="20"/>
      <c r="J223" s="20"/>
      <c r="K223" s="20"/>
      <c r="L223" s="20"/>
      <c r="M223" s="20"/>
      <c r="N223" s="20"/>
      <c r="O223" s="20"/>
      <c r="P223" s="20"/>
      <c r="Q223" s="20"/>
    </row>
    <row r="224" spans="1:17" x14ac:dyDescent="0.25">
      <c r="A224" s="20"/>
      <c r="B224" s="20"/>
      <c r="C224" s="20"/>
      <c r="D224" s="20"/>
      <c r="E224" s="20"/>
      <c r="F224" s="20"/>
      <c r="G224" s="20"/>
      <c r="H224" s="20"/>
      <c r="I224" s="20"/>
      <c r="J224" s="20"/>
      <c r="K224" s="20"/>
      <c r="L224" s="20"/>
      <c r="M224" s="20"/>
      <c r="N224" s="20"/>
      <c r="O224" s="20"/>
      <c r="P224" s="20"/>
      <c r="Q224" s="20"/>
    </row>
    <row r="225" spans="1:17" x14ac:dyDescent="0.25">
      <c r="A225" s="20"/>
      <c r="B225" s="20"/>
      <c r="C225" s="20"/>
      <c r="D225" s="20"/>
      <c r="E225" s="20"/>
      <c r="F225" s="20"/>
      <c r="G225" s="20"/>
      <c r="H225" s="20"/>
      <c r="I225" s="20"/>
      <c r="J225" s="20"/>
      <c r="K225" s="20"/>
      <c r="L225" s="20"/>
      <c r="M225" s="20"/>
      <c r="N225" s="20"/>
      <c r="O225" s="20"/>
      <c r="P225" s="20"/>
      <c r="Q225" s="20"/>
    </row>
    <row r="226" spans="1:17" x14ac:dyDescent="0.25">
      <c r="A226" s="20"/>
      <c r="B226" s="20"/>
      <c r="C226" s="20"/>
      <c r="D226" s="20"/>
      <c r="E226" s="20"/>
      <c r="F226" s="20"/>
      <c r="G226" s="20"/>
      <c r="H226" s="20"/>
      <c r="I226" s="20"/>
      <c r="J226" s="20"/>
      <c r="K226" s="20"/>
      <c r="L226" s="20"/>
      <c r="M226" s="20"/>
      <c r="N226" s="20"/>
      <c r="O226" s="20"/>
      <c r="P226" s="20"/>
      <c r="Q226" s="20"/>
    </row>
    <row r="227" spans="1:17" x14ac:dyDescent="0.25">
      <c r="A227" s="20"/>
      <c r="B227" s="20"/>
      <c r="C227" s="20"/>
      <c r="D227" s="20"/>
      <c r="E227" s="20"/>
      <c r="F227" s="20"/>
      <c r="G227" s="20"/>
      <c r="H227" s="20"/>
      <c r="I227" s="20"/>
      <c r="J227" s="20"/>
      <c r="K227" s="20"/>
      <c r="L227" s="20"/>
      <c r="M227" s="20"/>
      <c r="N227" s="20"/>
      <c r="O227" s="20"/>
      <c r="P227" s="20"/>
      <c r="Q227" s="20"/>
    </row>
    <row r="228" spans="1:17" x14ac:dyDescent="0.25">
      <c r="A228" s="20"/>
      <c r="B228" s="20"/>
      <c r="C228" s="20"/>
      <c r="D228" s="20"/>
      <c r="E228" s="20"/>
      <c r="F228" s="20"/>
      <c r="G228" s="20"/>
      <c r="H228" s="20"/>
      <c r="I228" s="20"/>
      <c r="J228" s="20"/>
      <c r="K228" s="20"/>
      <c r="L228" s="20"/>
      <c r="M228" s="20"/>
      <c r="N228" s="20"/>
      <c r="O228" s="20"/>
      <c r="P228" s="20"/>
      <c r="Q228" s="20"/>
    </row>
    <row r="229" spans="1:17" x14ac:dyDescent="0.25">
      <c r="A229" s="20"/>
      <c r="B229" s="20"/>
      <c r="C229" s="20"/>
      <c r="D229" s="20"/>
      <c r="E229" s="20"/>
      <c r="F229" s="20"/>
      <c r="G229" s="20"/>
      <c r="H229" s="20"/>
      <c r="I229" s="20"/>
      <c r="J229" s="20"/>
      <c r="K229" s="20"/>
      <c r="L229" s="20"/>
      <c r="M229" s="20"/>
      <c r="N229" s="20"/>
      <c r="O229" s="20"/>
      <c r="P229" s="20"/>
      <c r="Q229" s="20"/>
    </row>
    <row r="230" spans="1:17" x14ac:dyDescent="0.25">
      <c r="A230" s="20"/>
      <c r="B230" s="20"/>
      <c r="C230" s="20"/>
      <c r="D230" s="20"/>
      <c r="E230" s="20"/>
      <c r="F230" s="20"/>
      <c r="G230" s="20"/>
      <c r="H230" s="20"/>
      <c r="I230" s="20"/>
      <c r="J230" s="20"/>
      <c r="K230" s="20"/>
      <c r="L230" s="20"/>
      <c r="M230" s="20"/>
      <c r="N230" s="20"/>
      <c r="O230" s="20"/>
      <c r="P230" s="20"/>
      <c r="Q230" s="20"/>
    </row>
    <row r="231" spans="1:17" x14ac:dyDescent="0.25">
      <c r="A231" s="20"/>
      <c r="B231" s="20"/>
      <c r="C231" s="20"/>
      <c r="D231" s="20"/>
      <c r="E231" s="20"/>
      <c r="F231" s="20"/>
      <c r="G231" s="20"/>
      <c r="H231" s="20"/>
      <c r="I231" s="20"/>
      <c r="J231" s="20"/>
      <c r="K231" s="20"/>
      <c r="L231" s="20"/>
      <c r="M231" s="20"/>
      <c r="N231" s="20"/>
      <c r="O231" s="20"/>
      <c r="P231" s="20"/>
      <c r="Q231" s="20"/>
    </row>
    <row r="232" spans="1:17" x14ac:dyDescent="0.25">
      <c r="A232" s="20"/>
      <c r="B232" s="20"/>
      <c r="C232" s="20"/>
      <c r="D232" s="20"/>
      <c r="E232" s="20"/>
      <c r="F232" s="20"/>
      <c r="G232" s="20"/>
      <c r="H232" s="20"/>
      <c r="I232" s="20"/>
      <c r="J232" s="20"/>
      <c r="K232" s="20"/>
      <c r="L232" s="20"/>
      <c r="M232" s="20"/>
      <c r="N232" s="20"/>
      <c r="O232" s="20"/>
      <c r="P232" s="20"/>
      <c r="Q232" s="20"/>
    </row>
    <row r="233" spans="1:17" x14ac:dyDescent="0.25">
      <c r="A233" s="20"/>
      <c r="B233" s="20"/>
      <c r="C233" s="20"/>
      <c r="D233" s="20"/>
      <c r="E233" s="20"/>
      <c r="F233" s="20"/>
      <c r="G233" s="20"/>
      <c r="H233" s="20"/>
      <c r="I233" s="20"/>
      <c r="J233" s="20"/>
      <c r="K233" s="20"/>
      <c r="L233" s="20"/>
      <c r="M233" s="20"/>
      <c r="N233" s="20"/>
      <c r="O233" s="20"/>
      <c r="P233" s="20"/>
      <c r="Q233" s="20"/>
    </row>
    <row r="234" spans="1:17" x14ac:dyDescent="0.25">
      <c r="A234" s="20"/>
      <c r="B234" s="20"/>
      <c r="C234" s="20"/>
      <c r="D234" s="20"/>
      <c r="E234" s="20"/>
      <c r="F234" s="20"/>
      <c r="G234" s="20"/>
      <c r="H234" s="20"/>
      <c r="I234" s="20"/>
      <c r="J234" s="20"/>
      <c r="K234" s="20"/>
      <c r="L234" s="20"/>
      <c r="M234" s="20"/>
      <c r="N234" s="20"/>
      <c r="O234" s="20"/>
      <c r="P234" s="20"/>
      <c r="Q234" s="20"/>
    </row>
    <row r="235" spans="1:17" x14ac:dyDescent="0.25">
      <c r="A235" s="20"/>
      <c r="B235" s="20"/>
      <c r="C235" s="20"/>
      <c r="D235" s="20"/>
      <c r="E235" s="20"/>
      <c r="F235" s="20"/>
      <c r="G235" s="20"/>
      <c r="H235" s="20"/>
      <c r="I235" s="20"/>
      <c r="J235" s="20"/>
      <c r="K235" s="20"/>
      <c r="L235" s="20"/>
      <c r="M235" s="20"/>
      <c r="N235" s="20"/>
      <c r="O235" s="20"/>
      <c r="P235" s="20"/>
      <c r="Q235" s="20"/>
    </row>
    <row r="236" spans="1:17" x14ac:dyDescent="0.25">
      <c r="A236" s="20"/>
      <c r="B236" s="20"/>
      <c r="C236" s="20"/>
      <c r="D236" s="20"/>
      <c r="E236" s="20"/>
      <c r="F236" s="20"/>
      <c r="G236" s="20"/>
      <c r="H236" s="20"/>
      <c r="I236" s="20"/>
      <c r="J236" s="20"/>
      <c r="K236" s="20"/>
      <c r="L236" s="20"/>
      <c r="M236" s="20"/>
      <c r="N236" s="20"/>
      <c r="O236" s="20"/>
      <c r="P236" s="20"/>
      <c r="Q236" s="20"/>
    </row>
    <row r="237" spans="1:17" x14ac:dyDescent="0.25">
      <c r="A237" s="20"/>
      <c r="B237" s="20"/>
      <c r="C237" s="20"/>
      <c r="D237" s="20"/>
      <c r="E237" s="20"/>
      <c r="F237" s="20"/>
      <c r="G237" s="20"/>
      <c r="H237" s="20"/>
      <c r="I237" s="20"/>
      <c r="J237" s="20"/>
      <c r="K237" s="20"/>
      <c r="L237" s="20"/>
      <c r="M237" s="20"/>
      <c r="N237" s="20"/>
      <c r="O237" s="20"/>
      <c r="P237" s="20"/>
      <c r="Q237" s="20"/>
    </row>
    <row r="238" spans="1:17" x14ac:dyDescent="0.25">
      <c r="A238" s="20"/>
      <c r="B238" s="20"/>
      <c r="C238" s="20"/>
      <c r="D238" s="20"/>
      <c r="E238" s="20"/>
      <c r="F238" s="20"/>
      <c r="G238" s="20"/>
      <c r="H238" s="20"/>
      <c r="I238" s="20"/>
      <c r="J238" s="20"/>
      <c r="K238" s="20"/>
      <c r="L238" s="20"/>
      <c r="M238" s="20"/>
      <c r="N238" s="20"/>
      <c r="O238" s="20"/>
      <c r="P238" s="20"/>
      <c r="Q238" s="20"/>
    </row>
    <row r="239" spans="1:17" x14ac:dyDescent="0.25">
      <c r="A239" s="20"/>
      <c r="B239" s="20"/>
      <c r="C239" s="20"/>
      <c r="D239" s="20"/>
      <c r="E239" s="20"/>
      <c r="F239" s="20"/>
      <c r="G239" s="20"/>
      <c r="H239" s="20"/>
      <c r="I239" s="20"/>
      <c r="J239" s="20"/>
      <c r="K239" s="20"/>
      <c r="L239" s="20"/>
      <c r="M239" s="20"/>
      <c r="N239" s="20"/>
      <c r="O239" s="20"/>
      <c r="P239" s="20"/>
      <c r="Q239" s="20"/>
    </row>
    <row r="240" spans="1:17" x14ac:dyDescent="0.25">
      <c r="A240" s="20"/>
      <c r="B240" s="20"/>
      <c r="C240" s="20"/>
      <c r="D240" s="20"/>
      <c r="E240" s="20"/>
      <c r="F240" s="20"/>
      <c r="G240" s="20"/>
      <c r="H240" s="20"/>
      <c r="I240" s="20"/>
      <c r="J240" s="20"/>
      <c r="K240" s="20"/>
      <c r="L240" s="20"/>
      <c r="M240" s="20"/>
      <c r="N240" s="20"/>
      <c r="O240" s="20"/>
      <c r="P240" s="20"/>
      <c r="Q240" s="20"/>
    </row>
    <row r="241" spans="1:17" x14ac:dyDescent="0.25">
      <c r="A241" s="20"/>
      <c r="B241" s="20"/>
      <c r="C241" s="20"/>
      <c r="D241" s="20"/>
      <c r="E241" s="20"/>
      <c r="F241" s="20"/>
      <c r="G241" s="20"/>
      <c r="H241" s="20"/>
      <c r="I241" s="20"/>
      <c r="J241" s="20"/>
      <c r="K241" s="20"/>
      <c r="L241" s="20"/>
      <c r="M241" s="20"/>
      <c r="N241" s="20"/>
      <c r="O241" s="20"/>
      <c r="P241" s="20"/>
      <c r="Q241" s="20"/>
    </row>
    <row r="242" spans="1:17" x14ac:dyDescent="0.25">
      <c r="A242" s="20"/>
      <c r="B242" s="20"/>
      <c r="C242" s="20"/>
      <c r="D242" s="20"/>
      <c r="E242" s="20"/>
      <c r="F242" s="20"/>
      <c r="G242" s="20"/>
      <c r="H242" s="20"/>
      <c r="I242" s="20"/>
      <c r="J242" s="20"/>
      <c r="K242" s="20"/>
      <c r="L242" s="20"/>
      <c r="M242" s="20"/>
      <c r="N242" s="20"/>
      <c r="O242" s="20"/>
      <c r="P242" s="20"/>
      <c r="Q242" s="20"/>
    </row>
    <row r="243" spans="1:17" x14ac:dyDescent="0.25">
      <c r="A243" s="20"/>
      <c r="B243" s="20"/>
      <c r="C243" s="20"/>
      <c r="D243" s="20"/>
      <c r="E243" s="20"/>
      <c r="F243" s="20"/>
      <c r="G243" s="20"/>
      <c r="H243" s="20"/>
      <c r="I243" s="20"/>
      <c r="J243" s="20"/>
      <c r="K243" s="20"/>
      <c r="L243" s="20"/>
      <c r="M243" s="20"/>
      <c r="N243" s="20"/>
      <c r="O243" s="20"/>
      <c r="P243" s="20"/>
      <c r="Q243" s="20"/>
    </row>
    <row r="244" spans="1:17" x14ac:dyDescent="0.25">
      <c r="A244" s="20"/>
      <c r="B244" s="20"/>
      <c r="C244" s="20"/>
      <c r="D244" s="20"/>
      <c r="E244" s="20"/>
      <c r="F244" s="20"/>
      <c r="G244" s="20"/>
      <c r="H244" s="20"/>
      <c r="I244" s="20"/>
      <c r="J244" s="20"/>
      <c r="K244" s="20"/>
      <c r="L244" s="20"/>
      <c r="M244" s="20"/>
      <c r="N244" s="20"/>
      <c r="O244" s="20"/>
      <c r="P244" s="20"/>
      <c r="Q244" s="20"/>
    </row>
    <row r="245" spans="1:17" x14ac:dyDescent="0.25">
      <c r="A245" s="20"/>
      <c r="B245" s="20"/>
      <c r="C245" s="20"/>
      <c r="D245" s="20"/>
      <c r="E245" s="20"/>
      <c r="F245" s="20"/>
      <c r="G245" s="20"/>
      <c r="H245" s="20"/>
      <c r="I245" s="20"/>
      <c r="J245" s="20"/>
      <c r="K245" s="20"/>
      <c r="L245" s="20"/>
      <c r="M245" s="20"/>
      <c r="N245" s="20"/>
      <c r="O245" s="20"/>
      <c r="P245" s="20"/>
      <c r="Q245" s="20"/>
    </row>
    <row r="246" spans="1:17" x14ac:dyDescent="0.25">
      <c r="A246" s="20"/>
      <c r="B246" s="20"/>
      <c r="C246" s="20"/>
      <c r="D246" s="20"/>
      <c r="E246" s="20"/>
      <c r="F246" s="20"/>
      <c r="G246" s="20"/>
      <c r="H246" s="20"/>
      <c r="I246" s="20"/>
      <c r="J246" s="20"/>
      <c r="K246" s="20"/>
      <c r="L246" s="20"/>
      <c r="M246" s="20"/>
      <c r="N246" s="20"/>
      <c r="O246" s="20"/>
      <c r="P246" s="20"/>
      <c r="Q246" s="20"/>
    </row>
    <row r="247" spans="1:17" x14ac:dyDescent="0.25">
      <c r="A247" s="20"/>
      <c r="B247" s="20"/>
      <c r="C247" s="20"/>
      <c r="D247" s="20"/>
      <c r="E247" s="20"/>
      <c r="F247" s="20"/>
      <c r="G247" s="20"/>
      <c r="H247" s="20"/>
      <c r="I247" s="20"/>
      <c r="J247" s="20"/>
      <c r="K247" s="20"/>
      <c r="L247" s="20"/>
      <c r="M247" s="20"/>
      <c r="N247" s="20"/>
      <c r="O247" s="20"/>
      <c r="P247" s="20"/>
      <c r="Q247" s="20"/>
    </row>
    <row r="248" spans="1:17" x14ac:dyDescent="0.25">
      <c r="A248" s="20"/>
      <c r="B248" s="20"/>
      <c r="C248" s="20"/>
      <c r="D248" s="20"/>
      <c r="E248" s="20"/>
      <c r="F248" s="20"/>
      <c r="G248" s="20"/>
      <c r="H248" s="20"/>
      <c r="I248" s="20"/>
      <c r="J248" s="20"/>
      <c r="K248" s="20"/>
      <c r="L248" s="20"/>
      <c r="M248" s="20"/>
      <c r="N248" s="20"/>
      <c r="O248" s="20"/>
      <c r="P248" s="20"/>
      <c r="Q248" s="20"/>
    </row>
    <row r="249" spans="1:17" x14ac:dyDescent="0.25">
      <c r="A249" s="20"/>
      <c r="B249" s="20"/>
      <c r="C249" s="20"/>
      <c r="D249" s="20"/>
      <c r="E249" s="20"/>
      <c r="F249" s="20"/>
      <c r="G249" s="20"/>
      <c r="H249" s="20"/>
      <c r="I249" s="20"/>
      <c r="J249" s="20"/>
      <c r="K249" s="20"/>
      <c r="L249" s="20"/>
      <c r="M249" s="20"/>
      <c r="N249" s="20"/>
      <c r="O249" s="20"/>
      <c r="P249" s="20"/>
      <c r="Q249" s="20"/>
    </row>
    <row r="250" spans="1:17" x14ac:dyDescent="0.25">
      <c r="A250" s="20"/>
      <c r="B250" s="20"/>
      <c r="C250" s="20"/>
      <c r="D250" s="20"/>
      <c r="E250" s="20"/>
      <c r="F250" s="20"/>
      <c r="G250" s="20"/>
      <c r="H250" s="20"/>
      <c r="I250" s="20"/>
      <c r="J250" s="20"/>
      <c r="K250" s="20"/>
      <c r="L250" s="20"/>
      <c r="M250" s="20"/>
      <c r="N250" s="20"/>
      <c r="O250" s="20"/>
      <c r="P250" s="20"/>
      <c r="Q250" s="20"/>
    </row>
    <row r="251" spans="1:17" x14ac:dyDescent="0.25">
      <c r="A251" s="20"/>
      <c r="B251" s="20"/>
      <c r="C251" s="20"/>
      <c r="D251" s="20"/>
      <c r="E251" s="20"/>
      <c r="F251" s="20"/>
      <c r="G251" s="20"/>
      <c r="H251" s="20"/>
      <c r="I251" s="20"/>
      <c r="J251" s="20"/>
      <c r="K251" s="20"/>
      <c r="L251" s="20"/>
      <c r="M251" s="20"/>
      <c r="N251" s="20"/>
      <c r="O251" s="20"/>
      <c r="P251" s="20"/>
      <c r="Q251" s="20"/>
    </row>
    <row r="252" spans="1:17" x14ac:dyDescent="0.25">
      <c r="A252" s="20"/>
      <c r="B252" s="20"/>
      <c r="C252" s="20"/>
      <c r="D252" s="20"/>
      <c r="E252" s="20"/>
      <c r="F252" s="20"/>
      <c r="G252" s="20"/>
      <c r="H252" s="20"/>
      <c r="I252" s="20"/>
      <c r="J252" s="20"/>
      <c r="K252" s="20"/>
      <c r="L252" s="20"/>
      <c r="M252" s="20"/>
      <c r="N252" s="20"/>
      <c r="O252" s="20"/>
      <c r="P252" s="20"/>
      <c r="Q252" s="20"/>
    </row>
    <row r="253" spans="1:17" x14ac:dyDescent="0.25">
      <c r="A253" s="20"/>
      <c r="B253" s="20"/>
      <c r="C253" s="20"/>
      <c r="D253" s="20"/>
      <c r="E253" s="20"/>
      <c r="F253" s="20"/>
      <c r="G253" s="20"/>
      <c r="H253" s="20"/>
      <c r="I253" s="20"/>
      <c r="J253" s="20"/>
      <c r="K253" s="20"/>
      <c r="L253" s="20"/>
      <c r="M253" s="20"/>
      <c r="N253" s="20"/>
      <c r="O253" s="20"/>
      <c r="P253" s="20"/>
      <c r="Q253" s="20"/>
    </row>
    <row r="254" spans="1:17" x14ac:dyDescent="0.25">
      <c r="A254" s="20"/>
      <c r="B254" s="20"/>
      <c r="C254" s="20"/>
      <c r="D254" s="20"/>
      <c r="E254" s="20"/>
      <c r="F254" s="20"/>
      <c r="G254" s="20"/>
      <c r="H254" s="20"/>
      <c r="I254" s="20"/>
      <c r="J254" s="20"/>
      <c r="K254" s="20"/>
      <c r="L254" s="20"/>
      <c r="M254" s="20"/>
      <c r="N254" s="20"/>
      <c r="O254" s="20"/>
      <c r="P254" s="20"/>
      <c r="Q254" s="20"/>
    </row>
    <row r="255" spans="1:17" x14ac:dyDescent="0.25">
      <c r="A255" s="20"/>
      <c r="B255" s="20"/>
      <c r="C255" s="20"/>
      <c r="D255" s="20"/>
      <c r="E255" s="20"/>
      <c r="F255" s="20"/>
      <c r="G255" s="20"/>
      <c r="H255" s="20"/>
      <c r="I255" s="20"/>
      <c r="J255" s="20"/>
      <c r="K255" s="20"/>
      <c r="L255" s="20"/>
      <c r="M255" s="20"/>
      <c r="N255" s="20"/>
      <c r="O255" s="20"/>
      <c r="P255" s="20"/>
      <c r="Q255" s="20"/>
    </row>
    <row r="256" spans="1:17" x14ac:dyDescent="0.25">
      <c r="A256" s="20"/>
      <c r="B256" s="20"/>
      <c r="C256" s="20"/>
      <c r="D256" s="20"/>
      <c r="E256" s="20"/>
      <c r="F256" s="20"/>
      <c r="G256" s="20"/>
      <c r="H256" s="20"/>
      <c r="I256" s="20"/>
      <c r="J256" s="20"/>
      <c r="K256" s="20"/>
      <c r="L256" s="20"/>
      <c r="M256" s="20"/>
      <c r="N256" s="20"/>
      <c r="O256" s="20"/>
      <c r="P256" s="20"/>
      <c r="Q256" s="20"/>
    </row>
    <row r="257" spans="1:17" x14ac:dyDescent="0.25">
      <c r="A257" s="20"/>
      <c r="B257" s="20"/>
      <c r="C257" s="20"/>
      <c r="D257" s="20"/>
      <c r="E257" s="20"/>
      <c r="F257" s="20"/>
      <c r="G257" s="20"/>
      <c r="H257" s="20"/>
      <c r="I257" s="20"/>
      <c r="J257" s="20"/>
      <c r="K257" s="20"/>
      <c r="L257" s="20"/>
      <c r="M257" s="20"/>
      <c r="N257" s="20"/>
      <c r="O257" s="20"/>
      <c r="P257" s="20"/>
      <c r="Q257" s="20"/>
    </row>
    <row r="258" spans="1:17" x14ac:dyDescent="0.25">
      <c r="A258" s="20"/>
      <c r="B258" s="20"/>
      <c r="C258" s="20"/>
      <c r="D258" s="20"/>
      <c r="E258" s="20"/>
      <c r="F258" s="20"/>
      <c r="G258" s="20"/>
      <c r="H258" s="20"/>
      <c r="I258" s="20"/>
      <c r="J258" s="20"/>
      <c r="K258" s="20"/>
      <c r="L258" s="20"/>
      <c r="M258" s="20"/>
      <c r="N258" s="20"/>
      <c r="O258" s="20"/>
      <c r="P258" s="20"/>
      <c r="Q258" s="20"/>
    </row>
    <row r="259" spans="1:17" x14ac:dyDescent="0.25">
      <c r="A259" s="20"/>
      <c r="B259" s="20"/>
      <c r="C259" s="20"/>
      <c r="D259" s="20"/>
      <c r="E259" s="20"/>
      <c r="F259" s="20"/>
      <c r="G259" s="20"/>
      <c r="H259" s="20"/>
      <c r="I259" s="20"/>
      <c r="J259" s="20"/>
      <c r="K259" s="20"/>
      <c r="L259" s="20"/>
      <c r="M259" s="20"/>
      <c r="N259" s="20"/>
      <c r="O259" s="20"/>
      <c r="P259" s="20"/>
      <c r="Q259" s="20"/>
    </row>
    <row r="260" spans="1:17" x14ac:dyDescent="0.25">
      <c r="A260" s="20"/>
      <c r="B260" s="20"/>
      <c r="C260" s="20"/>
      <c r="D260" s="20"/>
      <c r="E260" s="20"/>
      <c r="F260" s="20"/>
      <c r="G260" s="20"/>
      <c r="H260" s="20"/>
      <c r="I260" s="20"/>
      <c r="J260" s="20"/>
      <c r="K260" s="20"/>
      <c r="L260" s="20"/>
      <c r="M260" s="20"/>
      <c r="N260" s="20"/>
      <c r="O260" s="20"/>
      <c r="P260" s="20"/>
      <c r="Q260" s="20"/>
    </row>
    <row r="261" spans="1:17" x14ac:dyDescent="0.25">
      <c r="A261" s="20"/>
      <c r="B261" s="20"/>
      <c r="C261" s="20"/>
      <c r="D261" s="20"/>
      <c r="E261" s="20"/>
      <c r="F261" s="20"/>
      <c r="G261" s="20"/>
      <c r="H261" s="20"/>
      <c r="I261" s="20"/>
      <c r="J261" s="20"/>
      <c r="K261" s="20"/>
      <c r="L261" s="20"/>
      <c r="M261" s="20"/>
      <c r="N261" s="20"/>
      <c r="O261" s="20"/>
      <c r="P261" s="20"/>
      <c r="Q261" s="20"/>
    </row>
    <row r="262" spans="1:17" x14ac:dyDescent="0.25">
      <c r="A262" s="20"/>
      <c r="B262" s="20"/>
      <c r="C262" s="20"/>
      <c r="D262" s="20"/>
      <c r="E262" s="20"/>
      <c r="F262" s="20"/>
      <c r="G262" s="20"/>
      <c r="H262" s="20"/>
      <c r="I262" s="20"/>
      <c r="J262" s="20"/>
      <c r="K262" s="20"/>
      <c r="L262" s="20"/>
      <c r="M262" s="20"/>
      <c r="N262" s="20"/>
      <c r="O262" s="20"/>
      <c r="P262" s="20"/>
      <c r="Q262" s="20"/>
    </row>
    <row r="263" spans="1:17" x14ac:dyDescent="0.25">
      <c r="A263" s="20"/>
      <c r="B263" s="20"/>
      <c r="C263" s="20"/>
      <c r="D263" s="20"/>
      <c r="E263" s="20"/>
      <c r="F263" s="20"/>
      <c r="G263" s="20"/>
      <c r="H263" s="20"/>
      <c r="I263" s="20"/>
      <c r="J263" s="20"/>
      <c r="K263" s="20"/>
      <c r="L263" s="20"/>
      <c r="M263" s="20"/>
      <c r="N263" s="20"/>
      <c r="O263" s="20"/>
      <c r="P263" s="20"/>
      <c r="Q263" s="20"/>
    </row>
    <row r="264" spans="1:17" x14ac:dyDescent="0.25">
      <c r="A264" s="20"/>
      <c r="B264" s="20"/>
      <c r="C264" s="20"/>
      <c r="D264" s="20"/>
      <c r="E264" s="20"/>
      <c r="F264" s="20"/>
      <c r="G264" s="20"/>
      <c r="H264" s="20"/>
      <c r="I264" s="20"/>
      <c r="J264" s="20"/>
      <c r="K264" s="20"/>
      <c r="L264" s="20"/>
      <c r="M264" s="20"/>
      <c r="N264" s="20"/>
      <c r="O264" s="20"/>
      <c r="P264" s="20"/>
      <c r="Q264" s="20"/>
    </row>
    <row r="265" spans="1:17" x14ac:dyDescent="0.25">
      <c r="A265" s="20"/>
      <c r="B265" s="20"/>
      <c r="C265" s="20"/>
      <c r="D265" s="20"/>
      <c r="E265" s="20"/>
      <c r="F265" s="20"/>
      <c r="G265" s="20"/>
      <c r="H265" s="20"/>
      <c r="I265" s="20"/>
      <c r="J265" s="20"/>
      <c r="K265" s="20"/>
      <c r="L265" s="20"/>
      <c r="M265" s="20"/>
      <c r="N265" s="20"/>
      <c r="O265" s="20"/>
      <c r="P265" s="20"/>
      <c r="Q265" s="20"/>
    </row>
    <row r="266" spans="1:17" x14ac:dyDescent="0.25">
      <c r="A266" s="20"/>
      <c r="B266" s="20"/>
      <c r="C266" s="20"/>
      <c r="D266" s="20"/>
      <c r="E266" s="20"/>
      <c r="F266" s="20"/>
      <c r="G266" s="20"/>
      <c r="H266" s="20"/>
      <c r="I266" s="20"/>
      <c r="J266" s="20"/>
      <c r="K266" s="20"/>
      <c r="L266" s="20"/>
      <c r="M266" s="20"/>
      <c r="N266" s="20"/>
      <c r="O266" s="20"/>
      <c r="P266" s="20"/>
      <c r="Q266" s="20"/>
    </row>
    <row r="267" spans="1:17" x14ac:dyDescent="0.25">
      <c r="A267" s="20"/>
      <c r="B267" s="20"/>
      <c r="C267" s="20"/>
      <c r="D267" s="20"/>
      <c r="E267" s="20"/>
      <c r="F267" s="20"/>
      <c r="G267" s="20"/>
      <c r="H267" s="20"/>
      <c r="I267" s="20"/>
      <c r="J267" s="20"/>
      <c r="K267" s="20"/>
      <c r="L267" s="20"/>
      <c r="M267" s="20"/>
      <c r="N267" s="20"/>
      <c r="O267" s="20"/>
      <c r="P267" s="20"/>
      <c r="Q267" s="20"/>
    </row>
    <row r="268" spans="1:17" x14ac:dyDescent="0.25">
      <c r="A268" s="20"/>
      <c r="B268" s="20"/>
      <c r="C268" s="20"/>
      <c r="D268" s="20"/>
      <c r="E268" s="20"/>
      <c r="F268" s="20"/>
      <c r="G268" s="20"/>
      <c r="H268" s="20"/>
      <c r="I268" s="20"/>
      <c r="J268" s="20"/>
      <c r="K268" s="20"/>
      <c r="L268" s="20"/>
      <c r="M268" s="20"/>
      <c r="N268" s="20"/>
      <c r="O268" s="20"/>
      <c r="P268" s="20"/>
      <c r="Q268" s="20"/>
    </row>
    <row r="269" spans="1:17" x14ac:dyDescent="0.25">
      <c r="A269" s="20"/>
      <c r="B269" s="20"/>
      <c r="C269" s="20"/>
      <c r="D269" s="20"/>
      <c r="E269" s="20"/>
      <c r="F269" s="20"/>
      <c r="G269" s="20"/>
      <c r="H269" s="20"/>
      <c r="I269" s="20"/>
      <c r="J269" s="20"/>
      <c r="K269" s="20"/>
      <c r="L269" s="20"/>
      <c r="M269" s="20"/>
      <c r="N269" s="20"/>
      <c r="O269" s="20"/>
      <c r="P269" s="20"/>
      <c r="Q269" s="20"/>
    </row>
    <row r="270" spans="1:17" x14ac:dyDescent="0.25">
      <c r="A270" s="20"/>
      <c r="B270" s="20"/>
      <c r="C270" s="20"/>
      <c r="D270" s="20"/>
      <c r="E270" s="20"/>
      <c r="F270" s="20"/>
      <c r="G270" s="20"/>
      <c r="H270" s="20"/>
      <c r="I270" s="20"/>
      <c r="J270" s="20"/>
      <c r="K270" s="20"/>
      <c r="L270" s="20"/>
      <c r="M270" s="20"/>
      <c r="N270" s="20"/>
      <c r="O270" s="20"/>
      <c r="P270" s="20"/>
      <c r="Q270" s="20"/>
    </row>
    <row r="271" spans="1:17" x14ac:dyDescent="0.25">
      <c r="A271" s="20"/>
      <c r="B271" s="20"/>
      <c r="C271" s="20"/>
      <c r="D271" s="20"/>
      <c r="E271" s="20"/>
      <c r="F271" s="20"/>
      <c r="G271" s="20"/>
      <c r="H271" s="20"/>
      <c r="I271" s="20"/>
      <c r="J271" s="20"/>
      <c r="K271" s="20"/>
      <c r="L271" s="20"/>
      <c r="M271" s="20"/>
      <c r="N271" s="20"/>
      <c r="O271" s="20"/>
      <c r="P271" s="20"/>
      <c r="Q271" s="20"/>
    </row>
    <row r="272" spans="1:17" x14ac:dyDescent="0.25">
      <c r="A272" s="20"/>
      <c r="B272" s="20"/>
      <c r="C272" s="20"/>
      <c r="D272" s="20"/>
      <c r="E272" s="20"/>
      <c r="F272" s="20"/>
      <c r="G272" s="20"/>
      <c r="H272" s="20"/>
      <c r="I272" s="20"/>
      <c r="J272" s="20"/>
      <c r="K272" s="20"/>
      <c r="L272" s="20"/>
      <c r="M272" s="20"/>
      <c r="N272" s="20"/>
      <c r="O272" s="20"/>
      <c r="P272" s="20"/>
      <c r="Q272" s="20"/>
    </row>
    <row r="273" spans="1:17" x14ac:dyDescent="0.25">
      <c r="A273" s="20"/>
      <c r="B273" s="20"/>
      <c r="C273" s="20"/>
      <c r="D273" s="20"/>
      <c r="E273" s="20"/>
      <c r="F273" s="20"/>
      <c r="G273" s="20"/>
      <c r="H273" s="20"/>
      <c r="I273" s="20"/>
      <c r="J273" s="20"/>
      <c r="K273" s="20"/>
      <c r="L273" s="20"/>
      <c r="M273" s="20"/>
      <c r="N273" s="20"/>
      <c r="O273" s="20"/>
      <c r="P273" s="20"/>
      <c r="Q273" s="20"/>
    </row>
    <row r="274" spans="1:17" x14ac:dyDescent="0.25">
      <c r="A274" s="20"/>
      <c r="B274" s="20"/>
      <c r="C274" s="20"/>
      <c r="D274" s="20"/>
      <c r="E274" s="20"/>
      <c r="F274" s="20"/>
      <c r="G274" s="20"/>
      <c r="H274" s="20"/>
      <c r="I274" s="20"/>
      <c r="J274" s="20"/>
      <c r="K274" s="20"/>
      <c r="L274" s="20"/>
      <c r="M274" s="20"/>
      <c r="N274" s="20"/>
      <c r="O274" s="20"/>
      <c r="P274" s="20"/>
      <c r="Q274" s="20"/>
    </row>
    <row r="275" spans="1:17" x14ac:dyDescent="0.25">
      <c r="A275" s="20"/>
      <c r="B275" s="20"/>
      <c r="C275" s="20"/>
      <c r="D275" s="20"/>
      <c r="E275" s="20"/>
      <c r="F275" s="20"/>
      <c r="G275" s="20"/>
      <c r="H275" s="20"/>
      <c r="I275" s="20"/>
      <c r="J275" s="20"/>
      <c r="K275" s="20"/>
      <c r="L275" s="20"/>
      <c r="M275" s="20"/>
      <c r="N275" s="20"/>
      <c r="O275" s="20"/>
      <c r="P275" s="20"/>
      <c r="Q275" s="20"/>
    </row>
    <row r="276" spans="1:17" x14ac:dyDescent="0.25">
      <c r="A276" s="20"/>
      <c r="B276" s="20"/>
      <c r="C276" s="20"/>
      <c r="D276" s="20"/>
      <c r="E276" s="20"/>
      <c r="F276" s="20"/>
      <c r="G276" s="20"/>
      <c r="H276" s="20"/>
      <c r="I276" s="20"/>
      <c r="J276" s="20"/>
      <c r="K276" s="20"/>
      <c r="L276" s="20"/>
      <c r="M276" s="20"/>
      <c r="N276" s="20"/>
      <c r="O276" s="20"/>
      <c r="P276" s="20"/>
      <c r="Q276" s="20"/>
    </row>
    <row r="277" spans="1:17" x14ac:dyDescent="0.25">
      <c r="A277" s="20"/>
      <c r="B277" s="20"/>
      <c r="C277" s="20"/>
      <c r="D277" s="20"/>
      <c r="E277" s="20"/>
      <c r="F277" s="20"/>
      <c r="G277" s="20"/>
      <c r="H277" s="20"/>
      <c r="I277" s="20"/>
      <c r="J277" s="20"/>
      <c r="K277" s="20"/>
      <c r="L277" s="20"/>
      <c r="M277" s="20"/>
      <c r="N277" s="20"/>
      <c r="O277" s="20"/>
      <c r="P277" s="20"/>
      <c r="Q277" s="20"/>
    </row>
    <row r="278" spans="1:17" x14ac:dyDescent="0.25">
      <c r="A278" s="20"/>
      <c r="B278" s="20"/>
      <c r="C278" s="20"/>
      <c r="D278" s="20"/>
      <c r="E278" s="20"/>
      <c r="F278" s="20"/>
      <c r="G278" s="20"/>
      <c r="H278" s="20"/>
      <c r="I278" s="20"/>
      <c r="J278" s="20"/>
      <c r="K278" s="20"/>
      <c r="L278" s="20"/>
      <c r="M278" s="20"/>
      <c r="N278" s="20"/>
      <c r="O278" s="20"/>
      <c r="P278" s="20"/>
      <c r="Q278" s="20"/>
    </row>
    <row r="279" spans="1:17" x14ac:dyDescent="0.25">
      <c r="A279" s="20"/>
      <c r="B279" s="20"/>
      <c r="C279" s="20"/>
      <c r="D279" s="20"/>
      <c r="E279" s="20"/>
      <c r="F279" s="20"/>
      <c r="G279" s="20"/>
      <c r="H279" s="20"/>
      <c r="I279" s="20"/>
      <c r="J279" s="20"/>
      <c r="K279" s="20"/>
      <c r="L279" s="20"/>
      <c r="M279" s="20"/>
      <c r="N279" s="20"/>
      <c r="O279" s="20"/>
      <c r="P279" s="20"/>
      <c r="Q279" s="20"/>
    </row>
    <row r="280" spans="1:17" x14ac:dyDescent="0.25">
      <c r="A280" s="20"/>
      <c r="B280" s="20"/>
      <c r="C280" s="20"/>
      <c r="D280" s="20"/>
      <c r="E280" s="20"/>
      <c r="F280" s="20"/>
      <c r="G280" s="20"/>
      <c r="H280" s="20"/>
      <c r="I280" s="20"/>
      <c r="J280" s="20"/>
      <c r="K280" s="20"/>
      <c r="L280" s="20"/>
      <c r="M280" s="20"/>
      <c r="N280" s="20"/>
      <c r="O280" s="20"/>
      <c r="P280" s="20"/>
      <c r="Q280" s="20"/>
    </row>
    <row r="281" spans="1:17" x14ac:dyDescent="0.25">
      <c r="A281" s="20"/>
      <c r="B281" s="20"/>
      <c r="C281" s="20"/>
      <c r="D281" s="20"/>
      <c r="E281" s="20"/>
      <c r="F281" s="20"/>
      <c r="G281" s="20"/>
      <c r="H281" s="20"/>
      <c r="I281" s="20"/>
      <c r="J281" s="20"/>
      <c r="K281" s="20"/>
      <c r="L281" s="20"/>
      <c r="M281" s="20"/>
      <c r="N281" s="20"/>
      <c r="O281" s="20"/>
      <c r="P281" s="20"/>
      <c r="Q281" s="20"/>
    </row>
    <row r="282" spans="1:17" x14ac:dyDescent="0.25">
      <c r="A282" s="20"/>
      <c r="B282" s="20"/>
      <c r="C282" s="20"/>
      <c r="D282" s="20"/>
      <c r="E282" s="20"/>
      <c r="F282" s="20"/>
      <c r="G282" s="20"/>
      <c r="H282" s="20"/>
      <c r="I282" s="20"/>
      <c r="J282" s="20"/>
      <c r="K282" s="20"/>
      <c r="L282" s="20"/>
      <c r="M282" s="20"/>
      <c r="N282" s="20"/>
      <c r="O282" s="20"/>
      <c r="P282" s="20"/>
      <c r="Q282" s="20"/>
    </row>
    <row r="283" spans="1:17" x14ac:dyDescent="0.25">
      <c r="A283" s="20"/>
      <c r="B283" s="20"/>
      <c r="C283" s="20"/>
      <c r="D283" s="20"/>
      <c r="E283" s="20"/>
      <c r="F283" s="20"/>
      <c r="G283" s="20"/>
      <c r="H283" s="20"/>
      <c r="I283" s="20"/>
      <c r="J283" s="20"/>
      <c r="K283" s="20"/>
      <c r="L283" s="20"/>
      <c r="M283" s="20"/>
      <c r="N283" s="20"/>
      <c r="O283" s="20"/>
      <c r="P283" s="20"/>
      <c r="Q283" s="20"/>
    </row>
    <row r="284" spans="1:17" x14ac:dyDescent="0.25">
      <c r="A284" s="20"/>
      <c r="B284" s="20"/>
      <c r="C284" s="20"/>
      <c r="D284" s="20"/>
      <c r="E284" s="20"/>
      <c r="F284" s="20"/>
      <c r="G284" s="20"/>
      <c r="H284" s="20"/>
      <c r="I284" s="20"/>
      <c r="J284" s="20"/>
      <c r="K284" s="20"/>
      <c r="L284" s="20"/>
      <c r="M284" s="20"/>
      <c r="N284" s="20"/>
      <c r="O284" s="20"/>
      <c r="P284" s="20"/>
      <c r="Q284" s="20"/>
    </row>
    <row r="285" spans="1:17" x14ac:dyDescent="0.25">
      <c r="A285" s="20"/>
      <c r="B285" s="20"/>
      <c r="C285" s="20"/>
      <c r="D285" s="20"/>
      <c r="E285" s="20"/>
      <c r="F285" s="20"/>
      <c r="G285" s="20"/>
      <c r="H285" s="20"/>
      <c r="I285" s="20"/>
      <c r="J285" s="20"/>
      <c r="K285" s="20"/>
      <c r="L285" s="20"/>
      <c r="M285" s="20"/>
      <c r="N285" s="20"/>
      <c r="O285" s="20"/>
      <c r="P285" s="20"/>
      <c r="Q285" s="20"/>
    </row>
    <row r="286" spans="1:17" x14ac:dyDescent="0.25">
      <c r="A286" s="20"/>
      <c r="B286" s="20"/>
      <c r="C286" s="20"/>
      <c r="D286" s="20"/>
      <c r="E286" s="20"/>
      <c r="F286" s="20"/>
      <c r="G286" s="20"/>
      <c r="H286" s="20"/>
      <c r="I286" s="20"/>
      <c r="J286" s="20"/>
      <c r="K286" s="20"/>
      <c r="L286" s="20"/>
      <c r="M286" s="20"/>
      <c r="N286" s="20"/>
      <c r="O286" s="20"/>
      <c r="P286" s="20"/>
      <c r="Q286" s="20"/>
    </row>
    <row r="287" spans="1:17" x14ac:dyDescent="0.25">
      <c r="A287" s="20"/>
      <c r="B287" s="20"/>
      <c r="C287" s="20"/>
      <c r="D287" s="20"/>
      <c r="E287" s="20"/>
      <c r="F287" s="20"/>
      <c r="G287" s="20"/>
      <c r="H287" s="20"/>
      <c r="I287" s="20"/>
      <c r="J287" s="20"/>
      <c r="K287" s="20"/>
      <c r="L287" s="20"/>
      <c r="M287" s="20"/>
      <c r="N287" s="20"/>
      <c r="O287" s="20"/>
      <c r="P287" s="20"/>
      <c r="Q287" s="20"/>
    </row>
    <row r="288" spans="1:17" x14ac:dyDescent="0.25">
      <c r="A288" s="20"/>
      <c r="B288" s="20"/>
      <c r="C288" s="20"/>
      <c r="D288" s="20"/>
      <c r="E288" s="20"/>
      <c r="F288" s="20"/>
      <c r="G288" s="20"/>
      <c r="H288" s="20"/>
      <c r="I288" s="20"/>
      <c r="J288" s="20"/>
      <c r="K288" s="20"/>
      <c r="L288" s="20"/>
      <c r="M288" s="20"/>
      <c r="N288" s="20"/>
      <c r="O288" s="20"/>
      <c r="P288" s="20"/>
      <c r="Q288" s="20"/>
    </row>
    <row r="289" spans="1:17" x14ac:dyDescent="0.25">
      <c r="A289" s="20"/>
      <c r="B289" s="20"/>
      <c r="C289" s="20"/>
      <c r="D289" s="20"/>
      <c r="E289" s="20"/>
      <c r="F289" s="20"/>
      <c r="G289" s="20"/>
      <c r="H289" s="20"/>
      <c r="I289" s="20"/>
      <c r="J289" s="20"/>
      <c r="K289" s="20"/>
      <c r="L289" s="20"/>
      <c r="M289" s="20"/>
      <c r="N289" s="20"/>
      <c r="O289" s="20"/>
      <c r="P289" s="20"/>
      <c r="Q289" s="20"/>
    </row>
    <row r="290" spans="1:17" x14ac:dyDescent="0.25">
      <c r="A290" s="20"/>
      <c r="B290" s="20"/>
      <c r="C290" s="20"/>
      <c r="D290" s="20"/>
      <c r="E290" s="20"/>
      <c r="F290" s="20"/>
      <c r="G290" s="20"/>
      <c r="H290" s="20"/>
      <c r="I290" s="20"/>
      <c r="J290" s="20"/>
      <c r="K290" s="20"/>
      <c r="L290" s="20"/>
      <c r="M290" s="20"/>
      <c r="N290" s="20"/>
      <c r="O290" s="20"/>
      <c r="P290" s="20"/>
      <c r="Q290" s="20"/>
    </row>
    <row r="291" spans="1:17" x14ac:dyDescent="0.25">
      <c r="A291" s="20"/>
      <c r="B291" s="20"/>
      <c r="C291" s="20"/>
      <c r="D291" s="20"/>
      <c r="E291" s="20"/>
      <c r="F291" s="20"/>
      <c r="G291" s="20"/>
      <c r="H291" s="20"/>
      <c r="I291" s="20"/>
      <c r="J291" s="20"/>
      <c r="K291" s="20"/>
      <c r="L291" s="20"/>
      <c r="M291" s="20"/>
      <c r="N291" s="20"/>
      <c r="O291" s="20"/>
      <c r="P291" s="20"/>
      <c r="Q291" s="20"/>
    </row>
    <row r="292" spans="1:17" x14ac:dyDescent="0.25">
      <c r="A292" s="20"/>
      <c r="B292" s="20"/>
      <c r="C292" s="20"/>
      <c r="D292" s="20"/>
      <c r="E292" s="20"/>
      <c r="F292" s="20"/>
      <c r="G292" s="20"/>
      <c r="H292" s="20"/>
      <c r="I292" s="20"/>
      <c r="J292" s="20"/>
      <c r="K292" s="20"/>
      <c r="L292" s="20"/>
      <c r="M292" s="20"/>
      <c r="N292" s="20"/>
      <c r="O292" s="20"/>
      <c r="P292" s="20"/>
      <c r="Q292" s="20"/>
    </row>
    <row r="293" spans="1:17" x14ac:dyDescent="0.25">
      <c r="A293" s="20"/>
      <c r="B293" s="20"/>
      <c r="C293" s="20"/>
      <c r="D293" s="20"/>
      <c r="E293" s="20"/>
      <c r="F293" s="20"/>
      <c r="G293" s="20"/>
      <c r="H293" s="20"/>
      <c r="I293" s="20"/>
      <c r="J293" s="20"/>
      <c r="K293" s="20"/>
      <c r="L293" s="20"/>
      <c r="M293" s="20"/>
      <c r="N293" s="20"/>
      <c r="O293" s="20"/>
      <c r="P293" s="20"/>
      <c r="Q293" s="20"/>
    </row>
    <row r="294" spans="1:17" x14ac:dyDescent="0.25">
      <c r="A294" s="20"/>
      <c r="B294" s="20"/>
      <c r="C294" s="20"/>
      <c r="D294" s="20"/>
      <c r="E294" s="20"/>
      <c r="F294" s="20"/>
      <c r="G294" s="20"/>
      <c r="H294" s="20"/>
      <c r="I294" s="20"/>
      <c r="J294" s="20"/>
      <c r="K294" s="20"/>
      <c r="L294" s="20"/>
      <c r="M294" s="20"/>
      <c r="N294" s="20"/>
      <c r="O294" s="20"/>
      <c r="P294" s="20"/>
      <c r="Q294" s="20"/>
    </row>
    <row r="295" spans="1:17" x14ac:dyDescent="0.25">
      <c r="A295" s="20"/>
      <c r="B295" s="20"/>
      <c r="C295" s="20"/>
      <c r="D295" s="20"/>
      <c r="E295" s="20"/>
      <c r="F295" s="20"/>
      <c r="G295" s="20"/>
      <c r="H295" s="20"/>
      <c r="I295" s="20"/>
      <c r="J295" s="20"/>
      <c r="K295" s="20"/>
      <c r="L295" s="20"/>
      <c r="M295" s="20"/>
      <c r="N295" s="20"/>
      <c r="O295" s="20"/>
      <c r="P295" s="20"/>
      <c r="Q295" s="20"/>
    </row>
    <row r="296" spans="1:17" x14ac:dyDescent="0.25">
      <c r="A296" s="20"/>
      <c r="B296" s="20"/>
      <c r="C296" s="20"/>
      <c r="D296" s="20"/>
      <c r="E296" s="20"/>
      <c r="F296" s="20"/>
      <c r="G296" s="20"/>
      <c r="H296" s="20"/>
      <c r="I296" s="20"/>
      <c r="J296" s="20"/>
      <c r="K296" s="20"/>
      <c r="L296" s="20"/>
      <c r="M296" s="20"/>
      <c r="N296" s="20"/>
      <c r="O296" s="20"/>
      <c r="P296" s="20"/>
      <c r="Q296" s="20"/>
    </row>
    <row r="297" spans="1:17" x14ac:dyDescent="0.25">
      <c r="A297" s="20"/>
      <c r="B297" s="20"/>
      <c r="C297" s="20"/>
      <c r="D297" s="20"/>
      <c r="E297" s="20"/>
      <c r="F297" s="20"/>
      <c r="G297" s="20"/>
      <c r="H297" s="20"/>
      <c r="I297" s="20"/>
      <c r="J297" s="20"/>
      <c r="K297" s="20"/>
      <c r="L297" s="20"/>
      <c r="M297" s="20"/>
      <c r="N297" s="20"/>
      <c r="O297" s="20"/>
      <c r="P297" s="20"/>
      <c r="Q297" s="20"/>
    </row>
    <row r="298" spans="1:17" x14ac:dyDescent="0.25">
      <c r="A298" s="20"/>
      <c r="B298" s="20"/>
      <c r="C298" s="20"/>
      <c r="D298" s="20"/>
      <c r="E298" s="20"/>
      <c r="F298" s="20"/>
      <c r="G298" s="20"/>
      <c r="H298" s="20"/>
      <c r="I298" s="20"/>
      <c r="J298" s="20"/>
      <c r="K298" s="20"/>
      <c r="L298" s="20"/>
      <c r="M298" s="20"/>
      <c r="N298" s="20"/>
      <c r="O298" s="20"/>
      <c r="P298" s="20"/>
      <c r="Q298" s="20"/>
    </row>
    <row r="299" spans="1:17" x14ac:dyDescent="0.25">
      <c r="A299" s="20"/>
      <c r="B299" s="20"/>
      <c r="C299" s="20"/>
      <c r="D299" s="20"/>
      <c r="E299" s="20"/>
      <c r="F299" s="20"/>
      <c r="G299" s="20"/>
      <c r="H299" s="20"/>
      <c r="I299" s="20"/>
      <c r="J299" s="20"/>
      <c r="K299" s="20"/>
      <c r="L299" s="20"/>
      <c r="M299" s="20"/>
      <c r="N299" s="20"/>
      <c r="O299" s="20"/>
      <c r="P299" s="20"/>
      <c r="Q299" s="20"/>
    </row>
    <row r="300" spans="1:17" x14ac:dyDescent="0.25">
      <c r="A300" s="20"/>
      <c r="B300" s="20"/>
      <c r="C300" s="20"/>
      <c r="D300" s="20"/>
      <c r="E300" s="20"/>
      <c r="F300" s="20"/>
      <c r="G300" s="20"/>
      <c r="H300" s="20"/>
      <c r="I300" s="20"/>
      <c r="J300" s="20"/>
      <c r="K300" s="20"/>
      <c r="L300" s="20"/>
      <c r="M300" s="20"/>
      <c r="N300" s="20"/>
      <c r="O300" s="20"/>
      <c r="P300" s="20"/>
      <c r="Q300" s="20"/>
    </row>
    <row r="301" spans="1:17" x14ac:dyDescent="0.25">
      <c r="A301" s="20"/>
      <c r="B301" s="20"/>
      <c r="C301" s="20"/>
      <c r="D301" s="20"/>
      <c r="E301" s="20"/>
      <c r="F301" s="20"/>
      <c r="G301" s="20"/>
      <c r="H301" s="20"/>
      <c r="I301" s="20"/>
      <c r="J301" s="20"/>
      <c r="K301" s="20"/>
      <c r="L301" s="20"/>
      <c r="M301" s="20"/>
      <c r="N301" s="20"/>
      <c r="O301" s="20"/>
      <c r="P301" s="20"/>
      <c r="Q301" s="20"/>
    </row>
    <row r="302" spans="1:17" x14ac:dyDescent="0.25">
      <c r="A302" s="20"/>
      <c r="B302" s="20"/>
      <c r="C302" s="20"/>
      <c r="D302" s="20"/>
      <c r="E302" s="20"/>
      <c r="F302" s="20"/>
      <c r="G302" s="20"/>
      <c r="H302" s="20"/>
      <c r="I302" s="20"/>
      <c r="J302" s="20"/>
      <c r="K302" s="20"/>
      <c r="L302" s="20"/>
      <c r="M302" s="20"/>
      <c r="N302" s="20"/>
      <c r="O302" s="20"/>
      <c r="P302" s="20"/>
      <c r="Q302" s="20"/>
    </row>
    <row r="303" spans="1:17" x14ac:dyDescent="0.25">
      <c r="A303" s="20"/>
      <c r="B303" s="20"/>
      <c r="C303" s="20"/>
      <c r="D303" s="20"/>
      <c r="E303" s="20"/>
      <c r="F303" s="20"/>
      <c r="G303" s="20"/>
      <c r="H303" s="20"/>
      <c r="I303" s="20"/>
      <c r="J303" s="20"/>
      <c r="K303" s="20"/>
      <c r="L303" s="20"/>
      <c r="M303" s="20"/>
      <c r="N303" s="20"/>
      <c r="O303" s="20"/>
      <c r="P303" s="20"/>
      <c r="Q303" s="20"/>
    </row>
    <row r="304" spans="1:17" x14ac:dyDescent="0.25">
      <c r="A304" s="20"/>
      <c r="B304" s="20"/>
      <c r="C304" s="20"/>
      <c r="D304" s="20"/>
      <c r="E304" s="20"/>
      <c r="F304" s="20"/>
      <c r="G304" s="20"/>
      <c r="H304" s="20"/>
      <c r="I304" s="20"/>
      <c r="J304" s="20"/>
      <c r="K304" s="20"/>
      <c r="L304" s="20"/>
      <c r="M304" s="20"/>
      <c r="N304" s="20"/>
      <c r="O304" s="20"/>
      <c r="P304" s="20"/>
      <c r="Q304" s="20"/>
    </row>
    <row r="305" spans="1:17" x14ac:dyDescent="0.25">
      <c r="A305" s="20"/>
      <c r="B305" s="20"/>
      <c r="C305" s="20"/>
      <c r="D305" s="20"/>
      <c r="E305" s="20"/>
      <c r="F305" s="20"/>
      <c r="G305" s="20"/>
      <c r="H305" s="20"/>
      <c r="I305" s="20"/>
      <c r="J305" s="20"/>
      <c r="K305" s="20"/>
      <c r="L305" s="20"/>
      <c r="M305" s="20"/>
      <c r="N305" s="20"/>
      <c r="O305" s="20"/>
      <c r="P305" s="20"/>
      <c r="Q305" s="20"/>
    </row>
    <row r="306" spans="1:17" x14ac:dyDescent="0.25">
      <c r="A306" s="20"/>
      <c r="B306" s="20"/>
      <c r="C306" s="20"/>
      <c r="D306" s="20"/>
      <c r="E306" s="20"/>
      <c r="F306" s="20"/>
      <c r="G306" s="20"/>
      <c r="H306" s="20"/>
      <c r="I306" s="20"/>
      <c r="J306" s="20"/>
      <c r="K306" s="20"/>
      <c r="L306" s="20"/>
      <c r="M306" s="20"/>
      <c r="N306" s="20"/>
      <c r="O306" s="20"/>
      <c r="P306" s="20"/>
      <c r="Q306" s="20"/>
    </row>
    <row r="307" spans="1:17" x14ac:dyDescent="0.25">
      <c r="A307" s="20"/>
      <c r="B307" s="20"/>
      <c r="C307" s="20"/>
      <c r="D307" s="20"/>
      <c r="E307" s="20"/>
      <c r="F307" s="20"/>
      <c r="G307" s="20"/>
      <c r="H307" s="20"/>
      <c r="I307" s="20"/>
      <c r="J307" s="20"/>
      <c r="K307" s="20"/>
      <c r="L307" s="20"/>
      <c r="M307" s="20"/>
      <c r="N307" s="20"/>
      <c r="O307" s="20"/>
      <c r="P307" s="20"/>
      <c r="Q307" s="20"/>
    </row>
    <row r="308" spans="1:17" x14ac:dyDescent="0.25">
      <c r="A308" s="20"/>
      <c r="B308" s="20"/>
      <c r="C308" s="20"/>
      <c r="D308" s="20"/>
      <c r="E308" s="20"/>
      <c r="F308" s="20"/>
      <c r="G308" s="20"/>
      <c r="H308" s="20"/>
      <c r="I308" s="20"/>
      <c r="J308" s="20"/>
      <c r="K308" s="20"/>
      <c r="L308" s="20"/>
      <c r="M308" s="20"/>
      <c r="N308" s="20"/>
      <c r="O308" s="20"/>
      <c r="P308" s="20"/>
      <c r="Q308" s="20"/>
    </row>
    <row r="309" spans="1:17" x14ac:dyDescent="0.25">
      <c r="A309" s="20"/>
      <c r="B309" s="20"/>
      <c r="C309" s="20"/>
      <c r="D309" s="20"/>
      <c r="E309" s="20"/>
      <c r="F309" s="20"/>
      <c r="G309" s="20"/>
      <c r="H309" s="20"/>
      <c r="I309" s="20"/>
      <c r="J309" s="20"/>
      <c r="K309" s="20"/>
      <c r="L309" s="20"/>
      <c r="M309" s="20"/>
      <c r="N309" s="20"/>
      <c r="O309" s="20"/>
      <c r="P309" s="20"/>
      <c r="Q309" s="20"/>
    </row>
    <row r="310" spans="1:17" x14ac:dyDescent="0.25">
      <c r="A310" s="20"/>
      <c r="B310" s="20"/>
      <c r="C310" s="20"/>
      <c r="D310" s="20"/>
      <c r="E310" s="20"/>
      <c r="F310" s="20"/>
      <c r="G310" s="20"/>
      <c r="H310" s="20"/>
      <c r="I310" s="20"/>
      <c r="J310" s="20"/>
      <c r="K310" s="20"/>
      <c r="L310" s="20"/>
      <c r="M310" s="20"/>
      <c r="N310" s="20"/>
      <c r="O310" s="20"/>
      <c r="P310" s="20"/>
      <c r="Q310" s="20"/>
    </row>
    <row r="311" spans="1:17" x14ac:dyDescent="0.25">
      <c r="A311" s="20"/>
      <c r="B311" s="20"/>
      <c r="C311" s="20"/>
      <c r="D311" s="20"/>
      <c r="E311" s="20"/>
      <c r="F311" s="20"/>
      <c r="G311" s="20"/>
      <c r="H311" s="20"/>
      <c r="I311" s="20"/>
      <c r="J311" s="20"/>
      <c r="K311" s="20"/>
      <c r="L311" s="20"/>
      <c r="M311" s="20"/>
      <c r="N311" s="20"/>
      <c r="O311" s="20"/>
      <c r="P311" s="20"/>
      <c r="Q311" s="20"/>
    </row>
    <row r="312" spans="1:17" x14ac:dyDescent="0.25">
      <c r="A312" s="20"/>
      <c r="B312" s="20"/>
      <c r="C312" s="20"/>
      <c r="D312" s="20"/>
      <c r="E312" s="20"/>
      <c r="F312" s="20"/>
      <c r="G312" s="20"/>
      <c r="H312" s="20"/>
      <c r="I312" s="20"/>
      <c r="J312" s="20"/>
      <c r="K312" s="20"/>
      <c r="L312" s="20"/>
      <c r="M312" s="20"/>
      <c r="N312" s="20"/>
      <c r="O312" s="20"/>
      <c r="P312" s="20"/>
      <c r="Q312" s="20"/>
    </row>
    <row r="313" spans="1:17" x14ac:dyDescent="0.25">
      <c r="A313" s="20"/>
      <c r="B313" s="20"/>
      <c r="C313" s="20"/>
      <c r="D313" s="20"/>
      <c r="E313" s="20"/>
      <c r="F313" s="20"/>
      <c r="G313" s="20"/>
      <c r="H313" s="20"/>
      <c r="I313" s="20"/>
      <c r="J313" s="20"/>
      <c r="K313" s="20"/>
      <c r="L313" s="20"/>
      <c r="M313" s="20"/>
      <c r="N313" s="20"/>
      <c r="O313" s="20"/>
      <c r="P313" s="20"/>
      <c r="Q313" s="20"/>
    </row>
    <row r="314" spans="1:17" x14ac:dyDescent="0.25">
      <c r="A314" s="20"/>
      <c r="B314" s="20"/>
      <c r="C314" s="20"/>
      <c r="D314" s="20"/>
      <c r="E314" s="20"/>
      <c r="F314" s="20"/>
      <c r="G314" s="20"/>
      <c r="H314" s="20"/>
      <c r="I314" s="20"/>
      <c r="J314" s="20"/>
      <c r="K314" s="20"/>
      <c r="L314" s="20"/>
      <c r="M314" s="20"/>
      <c r="N314" s="20"/>
      <c r="O314" s="20"/>
      <c r="P314" s="20"/>
      <c r="Q314" s="20"/>
    </row>
    <row r="315" spans="1:17" x14ac:dyDescent="0.25">
      <c r="A315" s="20"/>
      <c r="B315" s="20"/>
      <c r="C315" s="20"/>
      <c r="D315" s="20"/>
      <c r="E315" s="20"/>
      <c r="F315" s="20"/>
      <c r="G315" s="20"/>
      <c r="H315" s="20"/>
      <c r="I315" s="20"/>
      <c r="J315" s="20"/>
      <c r="K315" s="20"/>
      <c r="L315" s="20"/>
      <c r="M315" s="20"/>
      <c r="N315" s="20"/>
      <c r="O315" s="20"/>
      <c r="P315" s="20"/>
      <c r="Q315" s="20"/>
    </row>
    <row r="316" spans="1:17" x14ac:dyDescent="0.25">
      <c r="A316" s="20"/>
      <c r="B316" s="20"/>
      <c r="C316" s="20"/>
      <c r="D316" s="20"/>
      <c r="E316" s="20"/>
      <c r="F316" s="20"/>
      <c r="G316" s="20"/>
      <c r="H316" s="20"/>
      <c r="I316" s="20"/>
      <c r="J316" s="20"/>
      <c r="K316" s="20"/>
      <c r="L316" s="20"/>
      <c r="M316" s="20"/>
      <c r="N316" s="20"/>
      <c r="O316" s="20"/>
      <c r="P316" s="20"/>
      <c r="Q316" s="20"/>
    </row>
    <row r="317" spans="1:17" x14ac:dyDescent="0.25">
      <c r="A317" s="20"/>
      <c r="B317" s="20"/>
      <c r="C317" s="20"/>
      <c r="D317" s="20"/>
      <c r="E317" s="20"/>
      <c r="F317" s="20"/>
      <c r="G317" s="20"/>
      <c r="H317" s="20"/>
      <c r="I317" s="20"/>
      <c r="J317" s="20"/>
      <c r="K317" s="20"/>
      <c r="L317" s="20"/>
      <c r="M317" s="20"/>
      <c r="N317" s="20"/>
      <c r="O317" s="20"/>
      <c r="P317" s="20"/>
      <c r="Q317" s="20"/>
    </row>
    <row r="318" spans="1:17" x14ac:dyDescent="0.25">
      <c r="A318" s="20"/>
      <c r="B318" s="20"/>
      <c r="C318" s="20"/>
      <c r="D318" s="20"/>
      <c r="E318" s="20"/>
      <c r="F318" s="20"/>
      <c r="G318" s="20"/>
      <c r="H318" s="20"/>
      <c r="I318" s="20"/>
      <c r="J318" s="20"/>
      <c r="K318" s="20"/>
      <c r="L318" s="20"/>
      <c r="M318" s="20"/>
      <c r="N318" s="20"/>
      <c r="O318" s="20"/>
      <c r="P318" s="20"/>
      <c r="Q318" s="20"/>
    </row>
    <row r="319" spans="1:17" x14ac:dyDescent="0.25">
      <c r="A319" s="20"/>
      <c r="B319" s="20"/>
      <c r="C319" s="20"/>
      <c r="D319" s="20"/>
      <c r="E319" s="20"/>
      <c r="F319" s="20"/>
      <c r="G319" s="20"/>
      <c r="H319" s="20"/>
      <c r="I319" s="20"/>
      <c r="J319" s="20"/>
      <c r="K319" s="20"/>
      <c r="L319" s="20"/>
      <c r="M319" s="20"/>
      <c r="N319" s="20"/>
      <c r="O319" s="20"/>
      <c r="P319" s="20"/>
      <c r="Q319" s="20"/>
    </row>
    <row r="320" spans="1:17" x14ac:dyDescent="0.25">
      <c r="A320" s="20"/>
      <c r="B320" s="20"/>
      <c r="C320" s="20"/>
      <c r="D320" s="20"/>
      <c r="E320" s="20"/>
      <c r="F320" s="20"/>
      <c r="G320" s="20"/>
      <c r="H320" s="20"/>
      <c r="I320" s="20"/>
      <c r="J320" s="20"/>
      <c r="K320" s="20"/>
      <c r="L320" s="20"/>
      <c r="M320" s="20"/>
      <c r="N320" s="20"/>
      <c r="O320" s="20"/>
      <c r="P320" s="20"/>
      <c r="Q320" s="20"/>
    </row>
    <row r="321" spans="1:17" x14ac:dyDescent="0.25">
      <c r="A321" s="20"/>
      <c r="B321" s="20"/>
      <c r="C321" s="20"/>
      <c r="D321" s="20"/>
      <c r="E321" s="20"/>
      <c r="F321" s="20"/>
      <c r="G321" s="20"/>
      <c r="H321" s="20"/>
      <c r="I321" s="20"/>
      <c r="J321" s="20"/>
      <c r="K321" s="20"/>
      <c r="L321" s="20"/>
      <c r="M321" s="20"/>
      <c r="N321" s="20"/>
      <c r="O321" s="20"/>
      <c r="P321" s="20"/>
      <c r="Q321" s="20"/>
    </row>
    <row r="322" spans="1:17" x14ac:dyDescent="0.25">
      <c r="A322" s="20"/>
      <c r="B322" s="20"/>
      <c r="C322" s="20"/>
      <c r="D322" s="20"/>
      <c r="E322" s="20"/>
      <c r="F322" s="20"/>
      <c r="G322" s="20"/>
      <c r="H322" s="20"/>
      <c r="I322" s="20"/>
      <c r="J322" s="20"/>
      <c r="K322" s="20"/>
      <c r="L322" s="20"/>
      <c r="M322" s="20"/>
      <c r="N322" s="20"/>
      <c r="O322" s="20"/>
      <c r="P322" s="20"/>
      <c r="Q322" s="20"/>
    </row>
    <row r="323" spans="1:17" x14ac:dyDescent="0.25">
      <c r="A323" s="20"/>
      <c r="B323" s="20"/>
      <c r="C323" s="20"/>
      <c r="D323" s="20"/>
      <c r="E323" s="20"/>
      <c r="F323" s="20"/>
      <c r="G323" s="20"/>
      <c r="H323" s="20"/>
      <c r="I323" s="20"/>
      <c r="J323" s="20"/>
      <c r="K323" s="20"/>
      <c r="L323" s="20"/>
      <c r="M323" s="20"/>
      <c r="N323" s="20"/>
      <c r="O323" s="20"/>
      <c r="P323" s="20"/>
      <c r="Q323" s="20"/>
    </row>
    <row r="324" spans="1:17" x14ac:dyDescent="0.25">
      <c r="A324" s="20"/>
      <c r="B324" s="20"/>
      <c r="C324" s="20"/>
      <c r="D324" s="20"/>
      <c r="E324" s="20"/>
      <c r="F324" s="20"/>
      <c r="G324" s="20"/>
      <c r="H324" s="20"/>
      <c r="I324" s="20"/>
      <c r="J324" s="20"/>
      <c r="K324" s="20"/>
      <c r="L324" s="20"/>
      <c r="M324" s="20"/>
      <c r="N324" s="20"/>
      <c r="O324" s="20"/>
      <c r="P324" s="20"/>
      <c r="Q324" s="20"/>
    </row>
    <row r="325" spans="1:17" x14ac:dyDescent="0.25">
      <c r="A325" s="20"/>
      <c r="B325" s="20"/>
      <c r="C325" s="20"/>
      <c r="D325" s="20"/>
      <c r="E325" s="20"/>
      <c r="F325" s="20"/>
      <c r="G325" s="20"/>
      <c r="H325" s="20"/>
      <c r="I325" s="20"/>
      <c r="J325" s="20"/>
      <c r="K325" s="20"/>
      <c r="L325" s="20"/>
      <c r="M325" s="20"/>
      <c r="N325" s="20"/>
      <c r="O325" s="20"/>
      <c r="P325" s="20"/>
      <c r="Q325" s="20"/>
    </row>
    <row r="326" spans="1:17" x14ac:dyDescent="0.25">
      <c r="A326" s="20"/>
      <c r="B326" s="20"/>
      <c r="C326" s="20"/>
      <c r="D326" s="20"/>
      <c r="E326" s="20"/>
      <c r="F326" s="20"/>
      <c r="G326" s="20"/>
      <c r="H326" s="20"/>
      <c r="I326" s="20"/>
      <c r="J326" s="20"/>
      <c r="K326" s="20"/>
      <c r="L326" s="20"/>
      <c r="M326" s="20"/>
      <c r="N326" s="20"/>
      <c r="O326" s="20"/>
      <c r="P326" s="20"/>
      <c r="Q326" s="20"/>
    </row>
    <row r="327" spans="1:17" x14ac:dyDescent="0.25">
      <c r="A327" s="20"/>
      <c r="B327" s="20"/>
      <c r="C327" s="20"/>
      <c r="D327" s="20"/>
      <c r="E327" s="20"/>
      <c r="F327" s="20"/>
      <c r="G327" s="20"/>
      <c r="H327" s="20"/>
      <c r="I327" s="20"/>
      <c r="J327" s="20"/>
      <c r="K327" s="20"/>
      <c r="L327" s="20"/>
      <c r="M327" s="20"/>
      <c r="N327" s="20"/>
      <c r="O327" s="20"/>
      <c r="P327" s="20"/>
      <c r="Q327" s="20"/>
    </row>
    <row r="328" spans="1:17" x14ac:dyDescent="0.25">
      <c r="A328" s="20"/>
      <c r="B328" s="20"/>
      <c r="C328" s="20"/>
      <c r="D328" s="20"/>
      <c r="E328" s="20"/>
      <c r="F328" s="20"/>
      <c r="G328" s="20"/>
      <c r="H328" s="20"/>
      <c r="I328" s="20"/>
      <c r="J328" s="20"/>
      <c r="K328" s="20"/>
      <c r="L328" s="20"/>
      <c r="M328" s="20"/>
      <c r="N328" s="20"/>
      <c r="O328" s="20"/>
      <c r="P328" s="20"/>
      <c r="Q328" s="20"/>
    </row>
    <row r="329" spans="1:17" x14ac:dyDescent="0.25">
      <c r="A329" s="20"/>
      <c r="B329" s="20"/>
      <c r="C329" s="20"/>
      <c r="D329" s="20"/>
      <c r="E329" s="20"/>
      <c r="F329" s="20"/>
      <c r="G329" s="20"/>
      <c r="H329" s="20"/>
      <c r="I329" s="20"/>
      <c r="J329" s="20"/>
      <c r="K329" s="20"/>
      <c r="L329" s="20"/>
      <c r="M329" s="20"/>
      <c r="N329" s="20"/>
      <c r="O329" s="20"/>
      <c r="P329" s="20"/>
      <c r="Q329" s="20"/>
    </row>
    <row r="330" spans="1:17" x14ac:dyDescent="0.25">
      <c r="A330" s="20"/>
      <c r="B330" s="20"/>
      <c r="C330" s="20"/>
      <c r="D330" s="20"/>
      <c r="E330" s="20"/>
      <c r="F330" s="20"/>
      <c r="G330" s="20"/>
      <c r="H330" s="20"/>
      <c r="I330" s="20"/>
      <c r="J330" s="20"/>
      <c r="K330" s="20"/>
      <c r="L330" s="20"/>
      <c r="M330" s="20"/>
      <c r="N330" s="20"/>
      <c r="O330" s="20"/>
      <c r="P330" s="20"/>
      <c r="Q330" s="20"/>
    </row>
    <row r="331" spans="1:17" x14ac:dyDescent="0.25">
      <c r="A331" s="20"/>
      <c r="B331" s="20"/>
      <c r="C331" s="20"/>
      <c r="D331" s="20"/>
      <c r="E331" s="20"/>
      <c r="F331" s="20"/>
      <c r="G331" s="20"/>
      <c r="H331" s="20"/>
      <c r="I331" s="20"/>
      <c r="J331" s="20"/>
      <c r="K331" s="20"/>
      <c r="L331" s="20"/>
      <c r="M331" s="20"/>
      <c r="N331" s="20"/>
      <c r="O331" s="20"/>
      <c r="P331" s="20"/>
      <c r="Q331" s="20"/>
    </row>
    <row r="332" spans="1:17" x14ac:dyDescent="0.25">
      <c r="A332" s="20"/>
      <c r="B332" s="20"/>
      <c r="C332" s="20"/>
      <c r="D332" s="20"/>
      <c r="E332" s="20"/>
      <c r="F332" s="20"/>
      <c r="G332" s="20"/>
      <c r="H332" s="20"/>
      <c r="I332" s="20"/>
      <c r="J332" s="20"/>
      <c r="K332" s="20"/>
      <c r="L332" s="20"/>
      <c r="M332" s="20"/>
      <c r="N332" s="20"/>
      <c r="O332" s="20"/>
      <c r="P332" s="20"/>
      <c r="Q332" s="20"/>
    </row>
    <row r="333" spans="1:17" x14ac:dyDescent="0.25">
      <c r="A333" s="20"/>
      <c r="B333" s="20"/>
      <c r="C333" s="20"/>
      <c r="D333" s="20"/>
      <c r="E333" s="20"/>
      <c r="F333" s="20"/>
      <c r="G333" s="20"/>
      <c r="H333" s="20"/>
      <c r="I333" s="20"/>
      <c r="J333" s="20"/>
      <c r="K333" s="20"/>
      <c r="L333" s="20"/>
      <c r="M333" s="20"/>
      <c r="N333" s="20"/>
      <c r="O333" s="20"/>
      <c r="P333" s="20"/>
      <c r="Q333" s="20"/>
    </row>
    <row r="334" spans="1:17" x14ac:dyDescent="0.25">
      <c r="A334" s="20"/>
      <c r="B334" s="20"/>
      <c r="C334" s="20"/>
      <c r="D334" s="20"/>
      <c r="E334" s="20"/>
      <c r="F334" s="20"/>
      <c r="G334" s="20"/>
      <c r="H334" s="20"/>
      <c r="I334" s="20"/>
      <c r="J334" s="20"/>
      <c r="K334" s="20"/>
      <c r="L334" s="20"/>
      <c r="M334" s="20"/>
      <c r="N334" s="20"/>
      <c r="O334" s="20"/>
      <c r="P334" s="20"/>
      <c r="Q334" s="20"/>
    </row>
    <row r="335" spans="1:17" x14ac:dyDescent="0.25">
      <c r="A335" s="20"/>
      <c r="B335" s="20"/>
      <c r="C335" s="20"/>
      <c r="D335" s="20"/>
      <c r="E335" s="20"/>
      <c r="F335" s="20"/>
      <c r="G335" s="20"/>
      <c r="H335" s="20"/>
      <c r="I335" s="20"/>
      <c r="J335" s="20"/>
      <c r="K335" s="20"/>
      <c r="L335" s="20"/>
      <c r="M335" s="20"/>
      <c r="N335" s="20"/>
      <c r="O335" s="20"/>
      <c r="P335" s="20"/>
      <c r="Q335" s="20"/>
    </row>
    <row r="336" spans="1:17" x14ac:dyDescent="0.25">
      <c r="A336" s="20"/>
      <c r="B336" s="20"/>
      <c r="C336" s="20"/>
      <c r="D336" s="20"/>
      <c r="E336" s="20"/>
      <c r="F336" s="20"/>
      <c r="G336" s="20"/>
      <c r="H336" s="20"/>
      <c r="I336" s="20"/>
      <c r="J336" s="20"/>
      <c r="K336" s="20"/>
      <c r="L336" s="20"/>
      <c r="M336" s="20"/>
      <c r="N336" s="20"/>
      <c r="O336" s="20"/>
      <c r="P336" s="20"/>
      <c r="Q336" s="20"/>
    </row>
  </sheetData>
  <sheetProtection password="E593" sheet="1" objects="1" scenarios="1"/>
  <customSheetViews>
    <customSheetView guid="{B63065A1-7838-417A-8679-08A8A2B79CD8}" showPageBreaks="1" showGridLines="0" fitToPage="1" printArea="1" hiddenRows="1" hiddenColumns="1">
      <selection activeCell="I3" sqref="I3"/>
      <colBreaks count="1" manualBreakCount="1">
        <brk id="12" max="1048575" man="1"/>
      </colBreaks>
      <pageMargins left="0.75" right="0.75" top="1" bottom="1" header="0.5" footer="0.5"/>
      <pageSetup scale="62" orientation="portrait" r:id="rId1"/>
      <headerFooter alignWithMargins="0"/>
    </customSheetView>
  </customSheetViews>
  <mergeCells count="17">
    <mergeCell ref="D20:M20"/>
    <mergeCell ref="D21:M21"/>
    <mergeCell ref="B12:C26"/>
    <mergeCell ref="D12:M12"/>
    <mergeCell ref="D26:M26"/>
    <mergeCell ref="E4:M4"/>
    <mergeCell ref="E5:M5"/>
    <mergeCell ref="B11:P11"/>
    <mergeCell ref="D22:M24"/>
    <mergeCell ref="C8:O8"/>
    <mergeCell ref="D18:M19"/>
    <mergeCell ref="C9:O9"/>
    <mergeCell ref="D14:M14"/>
    <mergeCell ref="D13:M13"/>
    <mergeCell ref="D15:M15"/>
    <mergeCell ref="D16:M16"/>
    <mergeCell ref="D17:M17"/>
  </mergeCells>
  <pageMargins left="0.75" right="0.75" top="1" bottom="1" header="0.5" footer="0.5"/>
  <pageSetup scale="56" orientation="portrait" r:id="rId2"/>
  <headerFooter alignWithMargins="0"/>
  <colBreaks count="1" manualBreakCount="1">
    <brk id="12"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5121" r:id="rId5" name="Option Button 1">
              <controlPr defaultSize="0" autoFill="0" autoLine="0" autoPict="0">
                <anchor moveWithCells="1">
                  <from>
                    <xdr:col>2</xdr:col>
                    <xdr:colOff>289560</xdr:colOff>
                    <xdr:row>11</xdr:row>
                    <xdr:rowOff>53340</xdr:rowOff>
                  </from>
                  <to>
                    <xdr:col>2</xdr:col>
                    <xdr:colOff>624840</xdr:colOff>
                    <xdr:row>11</xdr:row>
                    <xdr:rowOff>274320</xdr:rowOff>
                  </to>
                </anchor>
              </controlPr>
            </control>
          </mc:Choice>
        </mc:AlternateContent>
        <mc:AlternateContent xmlns:mc="http://schemas.openxmlformats.org/markup-compatibility/2006">
          <mc:Choice Requires="x14">
            <control shapeId="5122" r:id="rId6" name="Option Button 2">
              <controlPr defaultSize="0" autoFill="0" autoLine="0" autoPict="0">
                <anchor moveWithCells="1">
                  <from>
                    <xdr:col>2</xdr:col>
                    <xdr:colOff>312420</xdr:colOff>
                    <xdr:row>21</xdr:row>
                    <xdr:rowOff>76200</xdr:rowOff>
                  </from>
                  <to>
                    <xdr:col>2</xdr:col>
                    <xdr:colOff>632460</xdr:colOff>
                    <xdr:row>22</xdr:row>
                    <xdr:rowOff>121920</xdr:rowOff>
                  </to>
                </anchor>
              </controlPr>
            </control>
          </mc:Choice>
        </mc:AlternateContent>
        <mc:AlternateContent xmlns:mc="http://schemas.openxmlformats.org/markup-compatibility/2006">
          <mc:Choice Requires="x14">
            <control shapeId="5123" r:id="rId7" name="Button 3">
              <controlPr defaultSize="0" print="0" autoFill="0" autoPict="0" macro="[0]!BackMain">
                <anchor moveWithCells="1" sizeWithCells="1">
                  <from>
                    <xdr:col>14</xdr:col>
                    <xdr:colOff>182880</xdr:colOff>
                    <xdr:row>28</xdr:row>
                    <xdr:rowOff>144780</xdr:rowOff>
                  </from>
                  <to>
                    <xdr:col>16</xdr:col>
                    <xdr:colOff>22860</xdr:colOff>
                    <xdr:row>31</xdr:row>
                    <xdr:rowOff>60960</xdr:rowOff>
                  </to>
                </anchor>
              </controlPr>
            </control>
          </mc:Choice>
        </mc:AlternateContent>
        <mc:AlternateContent xmlns:mc="http://schemas.openxmlformats.org/markup-compatibility/2006">
          <mc:Choice Requires="x14">
            <control shapeId="5124" r:id="rId8" name="Button 4">
              <controlPr defaultSize="0" print="0" autoFill="0" autoPict="0" macro="[0]!BackMain">
                <anchor moveWithCells="1" sizeWithCells="1">
                  <from>
                    <xdr:col>1</xdr:col>
                    <xdr:colOff>7620</xdr:colOff>
                    <xdr:row>0</xdr:row>
                    <xdr:rowOff>76200</xdr:rowOff>
                  </from>
                  <to>
                    <xdr:col>2</xdr:col>
                    <xdr:colOff>220980</xdr:colOff>
                    <xdr:row>2</xdr:row>
                    <xdr:rowOff>76200</xdr:rowOff>
                  </to>
                </anchor>
              </controlPr>
            </control>
          </mc:Choice>
        </mc:AlternateContent>
        <mc:AlternateContent xmlns:mc="http://schemas.openxmlformats.org/markup-compatibility/2006">
          <mc:Choice Requires="x14">
            <control shapeId="5125" r:id="rId9" name="Button 5">
              <controlPr defaultSize="0" print="0" autoFill="0" autoPict="0" macro="[0]!PrintHearing">
                <anchor moveWithCells="1" sizeWithCells="1">
                  <from>
                    <xdr:col>12</xdr:col>
                    <xdr:colOff>800100</xdr:colOff>
                    <xdr:row>0</xdr:row>
                    <xdr:rowOff>106680</xdr:rowOff>
                  </from>
                  <to>
                    <xdr:col>16</xdr:col>
                    <xdr:colOff>7620</xdr:colOff>
                    <xdr:row>2</xdr:row>
                    <xdr:rowOff>91440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W445"/>
  <sheetViews>
    <sheetView showGridLines="0" zoomScaleNormal="100" workbookViewId="0">
      <selection activeCell="B1" sqref="B1"/>
    </sheetView>
  </sheetViews>
  <sheetFormatPr defaultColWidth="9.109375" defaultRowHeight="15.6" x14ac:dyDescent="0.3"/>
  <cols>
    <col min="1" max="2" width="9.109375" style="8"/>
    <col min="3" max="3" width="35.6640625" style="8" customWidth="1"/>
    <col min="4" max="4" width="6.33203125" style="8" customWidth="1"/>
    <col min="5" max="5" width="10.88671875" style="8" customWidth="1"/>
    <col min="6" max="6" width="13.6640625" style="8" customWidth="1"/>
    <col min="7" max="7" width="14.44140625" style="8" customWidth="1"/>
    <col min="8" max="8" width="13.6640625" style="8" customWidth="1"/>
    <col min="9" max="9" width="15.6640625" style="8" customWidth="1"/>
    <col min="10" max="10" width="11" style="8" customWidth="1"/>
    <col min="11" max="11" width="9" style="72" customWidth="1"/>
    <col min="12" max="18" width="9.109375" style="1341"/>
    <col min="19" max="16384" width="9.109375" style="8"/>
  </cols>
  <sheetData>
    <row r="1" spans="1:18" x14ac:dyDescent="0.3">
      <c r="A1" s="10"/>
      <c r="B1" s="80"/>
      <c r="C1" s="80"/>
      <c r="D1" s="80"/>
      <c r="E1" s="80"/>
      <c r="F1" s="80"/>
      <c r="G1" s="80"/>
      <c r="H1" s="80"/>
      <c r="I1" s="80"/>
      <c r="J1" s="10"/>
      <c r="K1" s="1095"/>
      <c r="L1" s="1749"/>
      <c r="M1" s="1749"/>
      <c r="N1" s="1749"/>
      <c r="O1" s="1749"/>
      <c r="P1" s="1749"/>
      <c r="Q1" s="1749"/>
      <c r="R1" s="1749"/>
    </row>
    <row r="2" spans="1:18" x14ac:dyDescent="0.3">
      <c r="A2" s="10"/>
      <c r="B2" s="10"/>
      <c r="C2" s="10"/>
      <c r="D2" s="10"/>
      <c r="E2" s="10"/>
      <c r="F2" s="10"/>
      <c r="G2" s="10"/>
      <c r="H2" s="10"/>
      <c r="I2" s="10"/>
      <c r="J2" s="10"/>
      <c r="K2" s="1097"/>
    </row>
    <row r="3" spans="1:18" ht="15" customHeight="1" x14ac:dyDescent="0.3">
      <c r="A3" s="10"/>
      <c r="B3" s="10"/>
      <c r="C3" s="10"/>
      <c r="D3" s="10"/>
      <c r="E3" s="10"/>
      <c r="F3" s="10"/>
      <c r="G3" s="10"/>
      <c r="H3" s="10"/>
      <c r="I3" s="10"/>
      <c r="J3" s="10"/>
      <c r="K3" s="1096"/>
    </row>
    <row r="4" spans="1:18" ht="21.75" customHeight="1" x14ac:dyDescent="0.3">
      <c r="A4" s="10"/>
      <c r="B4" s="2333" t="str">
        <f>Utility</f>
        <v>Cleveland Water Utility</v>
      </c>
      <c r="C4" s="2333"/>
      <c r="D4" s="2333"/>
      <c r="E4" s="2333"/>
      <c r="F4" s="2333"/>
      <c r="G4" s="2333"/>
      <c r="H4" s="2333"/>
      <c r="I4" s="2333"/>
      <c r="J4" s="2333"/>
      <c r="K4" s="1096"/>
    </row>
    <row r="5" spans="1:18" x14ac:dyDescent="0.3">
      <c r="A5" s="10"/>
      <c r="B5" s="299"/>
      <c r="C5" s="1098" t="s">
        <v>154</v>
      </c>
      <c r="D5" s="299"/>
      <c r="E5" s="299"/>
      <c r="F5" s="299"/>
      <c r="G5" s="299"/>
      <c r="H5" s="1382"/>
      <c r="I5" s="1382"/>
      <c r="J5" s="1095" t="s">
        <v>153</v>
      </c>
      <c r="K5" s="1096"/>
    </row>
    <row r="6" spans="1:18" x14ac:dyDescent="0.3">
      <c r="A6" s="10"/>
      <c r="B6" s="299"/>
      <c r="C6" s="2334" t="s">
        <v>155</v>
      </c>
      <c r="D6" s="2334"/>
      <c r="E6" s="2334"/>
      <c r="F6" s="2334"/>
      <c r="G6" s="2334"/>
      <c r="H6" s="2334"/>
      <c r="I6" s="2334"/>
      <c r="J6" s="10"/>
      <c r="K6" s="1096"/>
    </row>
    <row r="7" spans="1:18" ht="18" customHeight="1" x14ac:dyDescent="0.3">
      <c r="A7" s="10"/>
      <c r="B7" s="1738"/>
      <c r="C7" s="1739" t="s">
        <v>156</v>
      </c>
      <c r="D7" s="1740"/>
      <c r="E7" s="1740"/>
      <c r="F7" s="1740"/>
      <c r="G7" s="1740"/>
      <c r="H7" s="1735"/>
      <c r="I7" s="1740"/>
      <c r="J7" s="1741"/>
      <c r="K7" s="1096"/>
    </row>
    <row r="8" spans="1:18" ht="19.5" customHeight="1" x14ac:dyDescent="0.3">
      <c r="A8" s="10"/>
      <c r="B8" s="1742"/>
      <c r="C8" s="1354" t="s">
        <v>1485</v>
      </c>
      <c r="D8" s="348"/>
      <c r="E8" s="348"/>
      <c r="F8" s="348"/>
      <c r="G8" s="348"/>
      <c r="H8" s="348"/>
      <c r="I8" s="1384"/>
      <c r="J8" s="1743"/>
      <c r="K8" s="1096"/>
    </row>
    <row r="9" spans="1:18" ht="54.9" customHeight="1" x14ac:dyDescent="0.3">
      <c r="A9" s="10"/>
      <c r="B9" s="1742"/>
      <c r="C9" s="2349" t="s">
        <v>810</v>
      </c>
      <c r="D9" s="2349"/>
      <c r="E9" s="2349"/>
      <c r="F9" s="2349"/>
      <c r="G9" s="2349"/>
      <c r="H9" s="2349"/>
      <c r="I9" s="1385"/>
      <c r="J9" s="1743"/>
      <c r="K9" s="1096"/>
    </row>
    <row r="10" spans="1:18" ht="21" customHeight="1" x14ac:dyDescent="0.3">
      <c r="A10" s="10"/>
      <c r="B10" s="1742"/>
      <c r="C10" s="1386" t="s">
        <v>1237</v>
      </c>
      <c r="D10" s="2032"/>
      <c r="E10" s="2032"/>
      <c r="F10" s="2032"/>
      <c r="G10" s="2032"/>
      <c r="H10" s="2032"/>
      <c r="I10" s="1385"/>
      <c r="J10" s="1743"/>
      <c r="K10" s="1096"/>
    </row>
    <row r="11" spans="1:18" ht="18" customHeight="1" x14ac:dyDescent="0.3">
      <c r="A11" s="10"/>
      <c r="B11" s="1742"/>
      <c r="C11" s="2035" t="s">
        <v>1238</v>
      </c>
      <c r="D11" s="1386"/>
      <c r="E11" s="1386"/>
      <c r="F11" s="1386"/>
      <c r="G11" s="1386"/>
      <c r="H11" s="1386"/>
      <c r="I11" s="1386"/>
      <c r="J11" s="1743"/>
      <c r="K11" s="1096"/>
    </row>
    <row r="12" spans="1:18" x14ac:dyDescent="0.3">
      <c r="A12" s="10"/>
      <c r="B12" s="1742"/>
      <c r="C12" s="1384"/>
      <c r="D12" s="1384"/>
      <c r="E12" s="1384"/>
      <c r="F12" s="1384"/>
      <c r="G12" s="1384"/>
      <c r="H12" s="1384"/>
      <c r="I12" s="1384"/>
      <c r="J12" s="1743"/>
      <c r="K12" s="1096"/>
    </row>
    <row r="13" spans="1:18" ht="37.5" customHeight="1" x14ac:dyDescent="0.3">
      <c r="A13" s="10"/>
      <c r="B13" s="1742"/>
      <c r="C13" s="2350" t="s">
        <v>157</v>
      </c>
      <c r="D13" s="2351"/>
      <c r="E13" s="2351"/>
      <c r="F13" s="2351"/>
      <c r="G13" s="2351"/>
      <c r="H13" s="2351"/>
      <c r="I13" s="2352"/>
      <c r="J13" s="1743"/>
      <c r="K13" s="1096"/>
    </row>
    <row r="14" spans="1:18" ht="26.4" x14ac:dyDescent="0.3">
      <c r="A14" s="10"/>
      <c r="B14" s="1742"/>
      <c r="C14" s="1387" t="s">
        <v>158</v>
      </c>
      <c r="D14" s="1387" t="s">
        <v>7</v>
      </c>
      <c r="E14" s="1388" t="s">
        <v>974</v>
      </c>
      <c r="F14" s="1388" t="s">
        <v>973</v>
      </c>
      <c r="G14" s="1388" t="s">
        <v>160</v>
      </c>
      <c r="H14" s="1388" t="s">
        <v>972</v>
      </c>
      <c r="I14" s="1388" t="s">
        <v>982</v>
      </c>
      <c r="J14" s="1743"/>
      <c r="K14" s="1096"/>
    </row>
    <row r="15" spans="1:18" ht="18" customHeight="1" x14ac:dyDescent="0.3">
      <c r="A15" s="10"/>
      <c r="B15" s="1742"/>
      <c r="C15" s="918" t="s">
        <v>793</v>
      </c>
      <c r="D15" s="919" t="s">
        <v>161</v>
      </c>
      <c r="E15" s="70" t="s">
        <v>177</v>
      </c>
      <c r="F15" s="68">
        <v>44986</v>
      </c>
      <c r="G15" s="69">
        <v>24</v>
      </c>
      <c r="H15" s="69" t="s">
        <v>975</v>
      </c>
      <c r="I15" s="69" t="s">
        <v>977</v>
      </c>
      <c r="J15" s="1743"/>
      <c r="K15" s="1096"/>
    </row>
    <row r="16" spans="1:18" ht="18" customHeight="1" x14ac:dyDescent="0.3">
      <c r="A16" s="10"/>
      <c r="B16" s="1742"/>
      <c r="C16" s="918" t="s">
        <v>794</v>
      </c>
      <c r="D16" s="919" t="s">
        <v>161</v>
      </c>
      <c r="E16" s="70" t="s">
        <v>177</v>
      </c>
      <c r="F16" s="68">
        <v>44866</v>
      </c>
      <c r="G16" s="69">
        <v>28</v>
      </c>
      <c r="H16" s="69" t="s">
        <v>975</v>
      </c>
      <c r="I16" s="69" t="s">
        <v>977</v>
      </c>
      <c r="J16" s="1743"/>
      <c r="K16" s="1096"/>
    </row>
    <row r="17" spans="1:23" ht="18" customHeight="1" x14ac:dyDescent="0.3">
      <c r="A17" s="10"/>
      <c r="B17" s="1742"/>
      <c r="C17" s="918" t="s">
        <v>795</v>
      </c>
      <c r="D17" s="919" t="s">
        <v>161</v>
      </c>
      <c r="E17" s="70" t="s">
        <v>177</v>
      </c>
      <c r="F17" s="68">
        <v>45047</v>
      </c>
      <c r="G17" s="69">
        <v>43</v>
      </c>
      <c r="H17" s="69" t="s">
        <v>975</v>
      </c>
      <c r="I17" s="69" t="s">
        <v>977</v>
      </c>
      <c r="J17" s="1743"/>
      <c r="K17" s="1096"/>
      <c r="R17" s="1750"/>
    </row>
    <row r="18" spans="1:23" ht="18" customHeight="1" x14ac:dyDescent="0.3">
      <c r="A18" s="10"/>
      <c r="B18" s="1742"/>
      <c r="C18" s="918" t="s">
        <v>796</v>
      </c>
      <c r="D18" s="919" t="s">
        <v>161</v>
      </c>
      <c r="E18" s="70" t="s">
        <v>177</v>
      </c>
      <c r="F18" s="68">
        <v>45108</v>
      </c>
      <c r="G18" s="69">
        <v>28</v>
      </c>
      <c r="H18" s="329" t="s">
        <v>975</v>
      </c>
      <c r="I18" s="329" t="s">
        <v>977</v>
      </c>
      <c r="J18" s="1743"/>
      <c r="K18" s="1096"/>
      <c r="R18" s="1750"/>
      <c r="V18" s="1383"/>
      <c r="W18" s="1383"/>
    </row>
    <row r="19" spans="1:23" ht="18" customHeight="1" x14ac:dyDescent="0.3">
      <c r="A19" s="10"/>
      <c r="B19" s="1742"/>
      <c r="C19" s="2326"/>
      <c r="D19" s="2326"/>
      <c r="E19" s="2326"/>
      <c r="F19" s="2326"/>
      <c r="G19" s="2326"/>
      <c r="H19" s="2326"/>
      <c r="I19" s="2326"/>
      <c r="J19" s="1743"/>
      <c r="K19" s="1096"/>
      <c r="R19" s="1750"/>
      <c r="V19" s="1383"/>
      <c r="W19" s="1383"/>
    </row>
    <row r="20" spans="1:23" ht="18" customHeight="1" x14ac:dyDescent="0.3">
      <c r="A20" s="10"/>
      <c r="B20" s="1742"/>
      <c r="C20" s="918" t="s">
        <v>811</v>
      </c>
      <c r="D20" s="920" t="s">
        <v>809</v>
      </c>
      <c r="E20" s="70" t="s">
        <v>181</v>
      </c>
      <c r="F20" s="68">
        <v>44896</v>
      </c>
      <c r="G20" s="69">
        <v>184</v>
      </c>
      <c r="H20" s="69" t="s">
        <v>975</v>
      </c>
      <c r="I20" s="69" t="s">
        <v>977</v>
      </c>
      <c r="J20" s="1743"/>
      <c r="K20" s="1096"/>
      <c r="R20" s="1750"/>
      <c r="V20" s="1383" t="s">
        <v>975</v>
      </c>
      <c r="W20" s="1383" t="s">
        <v>977</v>
      </c>
    </row>
    <row r="21" spans="1:23" ht="18" customHeight="1" x14ac:dyDescent="0.3">
      <c r="A21" s="10"/>
      <c r="B21" s="1742"/>
      <c r="C21" s="918" t="s">
        <v>812</v>
      </c>
      <c r="D21" s="920" t="s">
        <v>809</v>
      </c>
      <c r="E21" s="1130" t="s">
        <v>1533</v>
      </c>
      <c r="F21" s="68">
        <v>45108</v>
      </c>
      <c r="G21" s="69">
        <v>48</v>
      </c>
      <c r="H21" s="69" t="s">
        <v>975</v>
      </c>
      <c r="I21" s="69" t="s">
        <v>977</v>
      </c>
      <c r="J21" s="1743"/>
      <c r="K21" s="1096"/>
      <c r="R21" s="1750"/>
      <c r="V21" s="1383" t="s">
        <v>976</v>
      </c>
      <c r="W21" s="1383" t="s">
        <v>978</v>
      </c>
    </row>
    <row r="22" spans="1:23" ht="18" customHeight="1" x14ac:dyDescent="0.3">
      <c r="A22" s="10"/>
      <c r="B22" s="1742"/>
      <c r="C22" s="918" t="s">
        <v>813</v>
      </c>
      <c r="D22" s="920" t="s">
        <v>809</v>
      </c>
      <c r="E22" s="70" t="s">
        <v>1533</v>
      </c>
      <c r="F22" s="68">
        <v>44929</v>
      </c>
      <c r="G22" s="69">
        <v>65</v>
      </c>
      <c r="H22" s="69" t="s">
        <v>975</v>
      </c>
      <c r="I22" s="69" t="s">
        <v>977</v>
      </c>
      <c r="J22" s="1743"/>
      <c r="K22" s="1096"/>
      <c r="R22" s="1750"/>
      <c r="V22" s="1383"/>
      <c r="W22" s="1383" t="s">
        <v>979</v>
      </c>
    </row>
    <row r="23" spans="1:23" ht="18" customHeight="1" x14ac:dyDescent="0.3">
      <c r="A23" s="10"/>
      <c r="B23" s="1742"/>
      <c r="C23" s="918" t="s">
        <v>814</v>
      </c>
      <c r="D23" s="920" t="s">
        <v>809</v>
      </c>
      <c r="E23" s="70" t="s">
        <v>1533</v>
      </c>
      <c r="F23" s="68">
        <v>45047</v>
      </c>
      <c r="G23" s="69">
        <v>24</v>
      </c>
      <c r="H23" s="69" t="s">
        <v>975</v>
      </c>
      <c r="I23" s="329" t="s">
        <v>977</v>
      </c>
      <c r="J23" s="1743"/>
      <c r="K23" s="1096"/>
      <c r="R23" s="1750"/>
      <c r="V23" s="1383"/>
      <c r="W23" s="1383" t="s">
        <v>980</v>
      </c>
    </row>
    <row r="24" spans="1:23" ht="18" customHeight="1" x14ac:dyDescent="0.3">
      <c r="A24" s="10"/>
      <c r="B24" s="1742"/>
      <c r="C24" s="2326"/>
      <c r="D24" s="2326"/>
      <c r="E24" s="2326"/>
      <c r="F24" s="2326"/>
      <c r="G24" s="2326"/>
      <c r="H24" s="2326"/>
      <c r="I24" s="2326"/>
      <c r="J24" s="1743"/>
      <c r="K24" s="1096"/>
      <c r="R24" s="1750"/>
      <c r="V24" s="1383"/>
      <c r="W24" s="1383" t="s">
        <v>981</v>
      </c>
    </row>
    <row r="25" spans="1:23" ht="18" customHeight="1" x14ac:dyDescent="0.3">
      <c r="A25" s="10"/>
      <c r="B25" s="1742"/>
      <c r="C25" s="918" t="s">
        <v>798</v>
      </c>
      <c r="D25" s="919" t="s">
        <v>162</v>
      </c>
      <c r="E25" s="70" t="s">
        <v>177</v>
      </c>
      <c r="F25" s="68">
        <v>44805</v>
      </c>
      <c r="G25" s="69">
        <v>29</v>
      </c>
      <c r="H25" s="69" t="s">
        <v>975</v>
      </c>
      <c r="I25" s="69" t="s">
        <v>977</v>
      </c>
      <c r="J25" s="1743"/>
      <c r="K25" s="1096"/>
      <c r="R25" s="1750"/>
      <c r="V25" s="1383"/>
      <c r="W25" s="1383"/>
    </row>
    <row r="26" spans="1:23" ht="18" customHeight="1" x14ac:dyDescent="0.3">
      <c r="A26" s="10"/>
      <c r="B26" s="1742"/>
      <c r="C26" s="918" t="s">
        <v>797</v>
      </c>
      <c r="D26" s="919" t="s">
        <v>162</v>
      </c>
      <c r="E26" s="70" t="s">
        <v>1533</v>
      </c>
      <c r="F26" s="1136">
        <v>44805</v>
      </c>
      <c r="G26" s="69">
        <v>21</v>
      </c>
      <c r="H26" s="69" t="s">
        <v>975</v>
      </c>
      <c r="I26" s="69" t="s">
        <v>977</v>
      </c>
      <c r="J26" s="1743"/>
      <c r="K26" s="1096"/>
      <c r="R26" s="1750"/>
    </row>
    <row r="27" spans="1:23" ht="18" customHeight="1" x14ac:dyDescent="0.3">
      <c r="A27" s="10"/>
      <c r="B27" s="1742"/>
      <c r="C27" s="918" t="s">
        <v>799</v>
      </c>
      <c r="D27" s="920" t="s">
        <v>162</v>
      </c>
      <c r="E27" s="70" t="s">
        <v>177</v>
      </c>
      <c r="F27" s="68">
        <v>44805</v>
      </c>
      <c r="G27" s="69">
        <v>17</v>
      </c>
      <c r="H27" s="69" t="s">
        <v>975</v>
      </c>
      <c r="I27" s="69" t="s">
        <v>977</v>
      </c>
      <c r="J27" s="1743"/>
      <c r="K27" s="1096"/>
      <c r="R27" s="1750"/>
    </row>
    <row r="28" spans="1:23" ht="18" customHeight="1" x14ac:dyDescent="0.3">
      <c r="A28" s="10"/>
      <c r="B28" s="1742"/>
      <c r="C28" s="918" t="s">
        <v>800</v>
      </c>
      <c r="D28" s="919" t="s">
        <v>162</v>
      </c>
      <c r="E28" s="70" t="s">
        <v>1533</v>
      </c>
      <c r="F28" s="68">
        <v>44774</v>
      </c>
      <c r="G28" s="69">
        <v>11</v>
      </c>
      <c r="H28" s="329" t="s">
        <v>975</v>
      </c>
      <c r="I28" s="69" t="s">
        <v>977</v>
      </c>
      <c r="J28" s="1743"/>
      <c r="K28" s="1096"/>
      <c r="R28" s="1750"/>
    </row>
    <row r="29" spans="1:23" ht="18" customHeight="1" x14ac:dyDescent="0.3">
      <c r="A29" s="10"/>
      <c r="B29" s="1742"/>
      <c r="C29" s="2326"/>
      <c r="D29" s="2326"/>
      <c r="E29" s="2326"/>
      <c r="F29" s="2326"/>
      <c r="G29" s="2326"/>
      <c r="H29" s="2326"/>
      <c r="I29" s="2326"/>
      <c r="J29" s="1743"/>
      <c r="K29" s="1096"/>
      <c r="R29" s="1750"/>
    </row>
    <row r="30" spans="1:23" ht="18" customHeight="1" x14ac:dyDescent="0.3">
      <c r="A30" s="10"/>
      <c r="B30" s="1742"/>
      <c r="C30" s="918" t="s">
        <v>801</v>
      </c>
      <c r="D30" s="919" t="s">
        <v>163</v>
      </c>
      <c r="E30" s="70" t="s">
        <v>282</v>
      </c>
      <c r="F30" s="68">
        <v>45108</v>
      </c>
      <c r="G30" s="69">
        <v>275</v>
      </c>
      <c r="H30" s="69" t="s">
        <v>975</v>
      </c>
      <c r="I30" s="69" t="s">
        <v>977</v>
      </c>
      <c r="J30" s="1743"/>
      <c r="K30" s="1096"/>
    </row>
    <row r="31" spans="1:23" ht="18" customHeight="1" x14ac:dyDescent="0.3">
      <c r="A31" s="10"/>
      <c r="B31" s="1742"/>
      <c r="C31" s="918" t="s">
        <v>802</v>
      </c>
      <c r="D31" s="919" t="s">
        <v>163</v>
      </c>
      <c r="E31" s="70" t="s">
        <v>1533</v>
      </c>
      <c r="F31" s="68">
        <v>45108</v>
      </c>
      <c r="G31" s="69">
        <v>38</v>
      </c>
      <c r="H31" s="69" t="s">
        <v>975</v>
      </c>
      <c r="I31" s="69" t="s">
        <v>977</v>
      </c>
      <c r="J31" s="1743"/>
      <c r="K31" s="1096"/>
    </row>
    <row r="32" spans="1:23" ht="18" customHeight="1" x14ac:dyDescent="0.3">
      <c r="A32" s="10"/>
      <c r="B32" s="1742"/>
      <c r="C32" s="918" t="s">
        <v>803</v>
      </c>
      <c r="D32" s="919" t="s">
        <v>163</v>
      </c>
      <c r="E32" s="70" t="s">
        <v>177</v>
      </c>
      <c r="F32" s="68">
        <v>45108</v>
      </c>
      <c r="G32" s="69">
        <v>2</v>
      </c>
      <c r="H32" s="69" t="s">
        <v>975</v>
      </c>
      <c r="I32" s="69" t="s">
        <v>977</v>
      </c>
      <c r="J32" s="1743"/>
      <c r="K32" s="1096"/>
    </row>
    <row r="33" spans="1:11" ht="18" customHeight="1" x14ac:dyDescent="0.3">
      <c r="A33" s="10"/>
      <c r="B33" s="1742"/>
      <c r="C33" s="918" t="s">
        <v>804</v>
      </c>
      <c r="D33" s="919" t="s">
        <v>163</v>
      </c>
      <c r="E33" s="70" t="s">
        <v>177</v>
      </c>
      <c r="F33" s="68">
        <v>45017</v>
      </c>
      <c r="G33" s="69">
        <v>1</v>
      </c>
      <c r="H33" s="69" t="s">
        <v>975</v>
      </c>
      <c r="I33" s="69" t="s">
        <v>977</v>
      </c>
      <c r="J33" s="1743"/>
      <c r="K33" s="1096"/>
    </row>
    <row r="34" spans="1:11" ht="18" customHeight="1" x14ac:dyDescent="0.3">
      <c r="A34" s="10"/>
      <c r="B34" s="1742"/>
      <c r="C34" s="2326"/>
      <c r="D34" s="2326"/>
      <c r="E34" s="2326"/>
      <c r="F34" s="2326"/>
      <c r="G34" s="2326"/>
      <c r="H34" s="2326"/>
      <c r="I34" s="2326"/>
      <c r="J34" s="1743"/>
      <c r="K34" s="1096"/>
    </row>
    <row r="35" spans="1:11" ht="18" customHeight="1" x14ac:dyDescent="0.3">
      <c r="A35" s="10"/>
      <c r="B35" s="1742"/>
      <c r="C35" s="918" t="s">
        <v>805</v>
      </c>
      <c r="D35" s="919" t="s">
        <v>164</v>
      </c>
      <c r="E35" s="70" t="s">
        <v>177</v>
      </c>
      <c r="F35" s="68">
        <v>44805</v>
      </c>
      <c r="G35" s="69">
        <v>179</v>
      </c>
      <c r="H35" s="69" t="s">
        <v>975</v>
      </c>
      <c r="I35" s="69" t="s">
        <v>977</v>
      </c>
      <c r="J35" s="1743"/>
      <c r="K35" s="1096"/>
    </row>
    <row r="36" spans="1:11" ht="18" customHeight="1" x14ac:dyDescent="0.3">
      <c r="A36" s="10"/>
      <c r="B36" s="1742"/>
      <c r="C36" s="918" t="s">
        <v>806</v>
      </c>
      <c r="D36" s="919" t="s">
        <v>164</v>
      </c>
      <c r="E36" s="70" t="s">
        <v>1534</v>
      </c>
      <c r="F36" s="68">
        <v>44835</v>
      </c>
      <c r="G36" s="69">
        <v>37</v>
      </c>
      <c r="H36" s="69" t="s">
        <v>975</v>
      </c>
      <c r="I36" s="69" t="s">
        <v>977</v>
      </c>
      <c r="J36" s="1743"/>
      <c r="K36" s="1096"/>
    </row>
    <row r="37" spans="1:11" ht="18" customHeight="1" x14ac:dyDescent="0.3">
      <c r="A37" s="10"/>
      <c r="B37" s="1742"/>
      <c r="C37" s="918" t="s">
        <v>808</v>
      </c>
      <c r="D37" s="919" t="s">
        <v>164</v>
      </c>
      <c r="E37" s="70" t="s">
        <v>1534</v>
      </c>
      <c r="F37" s="68">
        <v>45078</v>
      </c>
      <c r="G37" s="69">
        <v>17</v>
      </c>
      <c r="H37" s="69" t="s">
        <v>975</v>
      </c>
      <c r="I37" s="69" t="s">
        <v>977</v>
      </c>
      <c r="J37" s="1743"/>
      <c r="K37" s="1096"/>
    </row>
    <row r="38" spans="1:11" ht="18" customHeight="1" x14ac:dyDescent="0.3">
      <c r="A38" s="10"/>
      <c r="B38" s="1742"/>
      <c r="C38" s="918" t="s">
        <v>807</v>
      </c>
      <c r="D38" s="919" t="s">
        <v>164</v>
      </c>
      <c r="E38" s="70" t="s">
        <v>177</v>
      </c>
      <c r="F38" s="68">
        <v>44896</v>
      </c>
      <c r="G38" s="69">
        <v>74</v>
      </c>
      <c r="H38" s="69" t="s">
        <v>975</v>
      </c>
      <c r="I38" s="69" t="s">
        <v>977</v>
      </c>
      <c r="J38" s="1743"/>
      <c r="K38" s="1096"/>
    </row>
    <row r="39" spans="1:11" ht="18" customHeight="1" x14ac:dyDescent="0.3">
      <c r="A39" s="10"/>
      <c r="B39" s="1742"/>
      <c r="C39" s="2326"/>
      <c r="D39" s="2326"/>
      <c r="E39" s="2326"/>
      <c r="F39" s="2326"/>
      <c r="G39" s="2326"/>
      <c r="H39" s="2326"/>
      <c r="I39" s="2326"/>
      <c r="J39" s="1743"/>
      <c r="K39" s="1096"/>
    </row>
    <row r="40" spans="1:11" ht="18" customHeight="1" x14ac:dyDescent="0.3">
      <c r="A40" s="10"/>
      <c r="B40" s="1742"/>
      <c r="C40" s="918" t="s">
        <v>899</v>
      </c>
      <c r="D40" s="920" t="s">
        <v>817</v>
      </c>
      <c r="E40" s="70"/>
      <c r="F40" s="68"/>
      <c r="G40" s="69"/>
      <c r="H40" s="69"/>
      <c r="I40" s="69"/>
      <c r="J40" s="1743"/>
      <c r="K40" s="1096"/>
    </row>
    <row r="41" spans="1:11" ht="18" customHeight="1" x14ac:dyDescent="0.3">
      <c r="A41" s="10"/>
      <c r="B41" s="1742"/>
      <c r="C41" s="918" t="s">
        <v>900</v>
      </c>
      <c r="D41" s="920" t="s">
        <v>817</v>
      </c>
      <c r="E41" s="70"/>
      <c r="F41" s="68"/>
      <c r="G41" s="69"/>
      <c r="H41" s="69"/>
      <c r="I41" s="69"/>
      <c r="J41" s="1743"/>
      <c r="K41" s="1096"/>
    </row>
    <row r="42" spans="1:11" ht="18" customHeight="1" x14ac:dyDescent="0.3">
      <c r="A42" s="10"/>
      <c r="B42" s="1742"/>
      <c r="C42" s="918" t="s">
        <v>901</v>
      </c>
      <c r="D42" s="920" t="s">
        <v>817</v>
      </c>
      <c r="E42" s="70"/>
      <c r="F42" s="68"/>
      <c r="G42" s="69"/>
      <c r="H42" s="69"/>
      <c r="I42" s="69"/>
      <c r="J42" s="1743"/>
      <c r="K42" s="1096"/>
    </row>
    <row r="43" spans="1:11" ht="18" customHeight="1" x14ac:dyDescent="0.3">
      <c r="A43" s="10"/>
      <c r="B43" s="1742"/>
      <c r="C43" s="918" t="s">
        <v>902</v>
      </c>
      <c r="D43" s="920" t="s">
        <v>817</v>
      </c>
      <c r="E43" s="70"/>
      <c r="F43" s="68"/>
      <c r="G43" s="69"/>
      <c r="H43" s="69"/>
      <c r="I43" s="69"/>
      <c r="J43" s="1743"/>
      <c r="K43" s="1096"/>
    </row>
    <row r="44" spans="1:11" x14ac:dyDescent="0.3">
      <c r="A44" s="10"/>
      <c r="B44" s="1744"/>
      <c r="C44" s="1745"/>
      <c r="D44" s="1745"/>
      <c r="E44" s="1745"/>
      <c r="F44" s="1745"/>
      <c r="G44" s="1745"/>
      <c r="H44" s="1745"/>
      <c r="I44" s="1745"/>
      <c r="J44" s="1746"/>
      <c r="K44" s="1096"/>
    </row>
    <row r="45" spans="1:11" x14ac:dyDescent="0.3">
      <c r="A45" s="10"/>
      <c r="B45" s="1096"/>
      <c r="C45" s="1096"/>
      <c r="D45" s="1096"/>
      <c r="E45" s="1096"/>
      <c r="F45" s="1096"/>
      <c r="G45" s="1096"/>
      <c r="H45" s="1096"/>
      <c r="I45" s="1096"/>
      <c r="J45" s="1096"/>
      <c r="K45" s="1096"/>
    </row>
    <row r="46" spans="1:11" x14ac:dyDescent="0.3">
      <c r="A46" s="10"/>
      <c r="B46" s="299"/>
      <c r="C46" s="1098" t="s">
        <v>165</v>
      </c>
      <c r="D46" s="299"/>
      <c r="E46" s="299"/>
      <c r="F46" s="299"/>
      <c r="G46" s="299"/>
      <c r="H46" s="299"/>
      <c r="I46" s="299"/>
      <c r="J46" s="1096"/>
      <c r="K46" s="1096"/>
    </row>
    <row r="47" spans="1:11" x14ac:dyDescent="0.3">
      <c r="A47" s="10"/>
      <c r="B47" s="299"/>
      <c r="C47" s="907" t="s">
        <v>1334</v>
      </c>
      <c r="D47" s="299"/>
      <c r="E47" s="299"/>
      <c r="F47" s="299"/>
      <c r="G47" s="1099"/>
      <c r="H47" s="1099"/>
      <c r="I47" s="1099"/>
      <c r="J47" s="1096"/>
      <c r="K47" s="1096"/>
    </row>
    <row r="48" spans="1:11" x14ac:dyDescent="0.3">
      <c r="A48" s="10"/>
      <c r="B48" s="1099"/>
      <c r="C48" s="299"/>
      <c r="D48" s="299"/>
      <c r="E48" s="299"/>
      <c r="F48" s="299"/>
      <c r="G48" s="1099"/>
      <c r="H48" s="1099"/>
      <c r="I48" s="1099"/>
      <c r="J48" s="10"/>
      <c r="K48" s="10"/>
    </row>
    <row r="49" spans="1:11" x14ac:dyDescent="0.3">
      <c r="A49" s="10"/>
      <c r="B49" s="1711"/>
      <c r="C49" s="1734" t="s">
        <v>166</v>
      </c>
      <c r="D49" s="1735"/>
      <c r="E49" s="1736"/>
      <c r="F49" s="1736"/>
      <c r="G49" s="1736"/>
      <c r="H49" s="1736"/>
      <c r="I49" s="1736"/>
      <c r="J49" s="1712"/>
      <c r="K49" s="10"/>
    </row>
    <row r="50" spans="1:11" x14ac:dyDescent="0.3">
      <c r="A50" s="10"/>
      <c r="B50" s="1713"/>
      <c r="C50" s="2216" t="s">
        <v>1504</v>
      </c>
      <c r="D50" s="879"/>
      <c r="E50" s="879"/>
      <c r="F50" s="879"/>
      <c r="G50" s="879"/>
      <c r="H50" s="879"/>
      <c r="I50" s="879"/>
      <c r="J50" s="1714"/>
      <c r="K50" s="10"/>
    </row>
    <row r="51" spans="1:11" x14ac:dyDescent="0.3">
      <c r="A51" s="10"/>
      <c r="B51" s="1713"/>
      <c r="C51" s="879"/>
      <c r="D51" s="879"/>
      <c r="E51" s="879"/>
      <c r="F51" s="879"/>
      <c r="G51" s="879"/>
      <c r="H51" s="879"/>
      <c r="I51" s="879"/>
      <c r="J51" s="1714"/>
      <c r="K51" s="10"/>
    </row>
    <row r="52" spans="1:11" x14ac:dyDescent="0.3">
      <c r="A52" s="10"/>
      <c r="B52" s="1713"/>
      <c r="C52" s="921" t="s">
        <v>1332</v>
      </c>
      <c r="D52" s="879"/>
      <c r="E52" s="879"/>
      <c r="F52" s="879"/>
      <c r="G52" s="879"/>
      <c r="H52" s="879"/>
      <c r="I52" s="879"/>
      <c r="J52" s="1714"/>
      <c r="K52" s="10"/>
    </row>
    <row r="53" spans="1:11" x14ac:dyDescent="0.3">
      <c r="A53" s="10"/>
      <c r="B53" s="1713"/>
      <c r="C53" s="2240" t="s">
        <v>1505</v>
      </c>
      <c r="D53" s="922"/>
      <c r="E53" s="1706"/>
      <c r="F53" s="1705" t="str">
        <f>IF(Question2="Other","    Number of bills per year?", "")</f>
        <v/>
      </c>
      <c r="G53" s="1182"/>
      <c r="H53" s="1182"/>
      <c r="I53" s="1182"/>
      <c r="J53" s="1714"/>
      <c r="K53" s="10"/>
    </row>
    <row r="54" spans="1:11" x14ac:dyDescent="0.3">
      <c r="A54" s="10"/>
      <c r="B54" s="1713"/>
      <c r="C54" s="923"/>
      <c r="D54" s="924"/>
      <c r="E54" s="924"/>
      <c r="F54" s="924"/>
      <c r="G54" s="924"/>
      <c r="H54" s="924"/>
      <c r="I54" s="924"/>
      <c r="J54" s="1714"/>
      <c r="K54" s="10"/>
    </row>
    <row r="55" spans="1:11" x14ac:dyDescent="0.3">
      <c r="A55" s="10"/>
      <c r="B55" s="1713"/>
      <c r="C55" s="926" t="s">
        <v>1333</v>
      </c>
      <c r="D55" s="924"/>
      <c r="E55" s="924"/>
      <c r="F55" s="924"/>
      <c r="G55" s="924"/>
      <c r="H55" s="924"/>
      <c r="I55" s="924"/>
      <c r="J55" s="1714"/>
      <c r="K55" s="10"/>
    </row>
    <row r="56" spans="1:11" x14ac:dyDescent="0.3">
      <c r="A56" s="10"/>
      <c r="B56" s="1713"/>
      <c r="C56" s="2215"/>
      <c r="D56" s="924"/>
      <c r="E56" s="924"/>
      <c r="F56" s="924"/>
      <c r="G56" s="924"/>
      <c r="H56" s="924"/>
      <c r="I56" s="924"/>
      <c r="J56" s="1714"/>
      <c r="K56" s="10"/>
    </row>
    <row r="57" spans="1:11" x14ac:dyDescent="0.3">
      <c r="A57" s="10"/>
      <c r="B57" s="1713"/>
      <c r="C57" s="926"/>
      <c r="D57" s="924"/>
      <c r="E57" s="924"/>
      <c r="F57" s="924"/>
      <c r="G57" s="924"/>
      <c r="H57" s="924"/>
      <c r="I57" s="924"/>
      <c r="J57" s="1714"/>
      <c r="K57" s="10"/>
    </row>
    <row r="58" spans="1:11" x14ac:dyDescent="0.3">
      <c r="A58" s="10"/>
      <c r="B58" s="1713"/>
      <c r="C58" s="926" t="s">
        <v>1360</v>
      </c>
      <c r="D58" s="924"/>
      <c r="E58" s="924"/>
      <c r="F58" s="924"/>
      <c r="G58" s="924"/>
      <c r="H58" s="924"/>
      <c r="I58" s="924"/>
      <c r="J58" s="1714"/>
      <c r="K58" s="10"/>
    </row>
    <row r="59" spans="1:11" x14ac:dyDescent="0.3">
      <c r="A59" s="10"/>
      <c r="B59" s="1713"/>
      <c r="C59" s="2240"/>
      <c r="D59" s="922"/>
      <c r="E59" s="2201"/>
      <c r="F59" s="2200" t="str">
        <f>IF(Question4="Other","    Number of bills per year?", "")</f>
        <v/>
      </c>
      <c r="G59" s="1182"/>
      <c r="H59" s="924"/>
      <c r="I59" s="924"/>
      <c r="J59" s="1714"/>
      <c r="K59" s="10"/>
    </row>
    <row r="60" spans="1:11" x14ac:dyDescent="0.3">
      <c r="A60" s="10"/>
      <c r="B60" s="1713"/>
      <c r="C60" s="923"/>
      <c r="D60" s="924"/>
      <c r="E60" s="924"/>
      <c r="F60" s="924"/>
      <c r="G60" s="924"/>
      <c r="H60" s="924"/>
      <c r="I60" s="924"/>
      <c r="J60" s="1714"/>
      <c r="K60" s="10"/>
    </row>
    <row r="61" spans="1:11" x14ac:dyDescent="0.3">
      <c r="A61" s="10"/>
      <c r="B61" s="1713"/>
      <c r="C61" s="881" t="s">
        <v>167</v>
      </c>
      <c r="D61" s="879"/>
      <c r="E61" s="879"/>
      <c r="F61" s="879"/>
      <c r="G61" s="879"/>
      <c r="H61" s="879"/>
      <c r="I61" s="879"/>
      <c r="J61" s="1714"/>
      <c r="K61" s="10"/>
    </row>
    <row r="62" spans="1:11" x14ac:dyDescent="0.3">
      <c r="A62" s="10"/>
      <c r="B62" s="1713"/>
      <c r="C62" s="1344" t="s">
        <v>1505</v>
      </c>
      <c r="D62" s="922"/>
      <c r="E62" s="2327" t="str">
        <f>IF(C62="Other","Please explain"," ")</f>
        <v xml:space="preserve"> </v>
      </c>
      <c r="F62" s="2327"/>
      <c r="G62" s="2327"/>
      <c r="H62" s="1702"/>
      <c r="I62" s="1702"/>
      <c r="J62" s="1714"/>
      <c r="K62" s="10"/>
    </row>
    <row r="63" spans="1:11" x14ac:dyDescent="0.3">
      <c r="A63" s="10"/>
      <c r="B63" s="1713"/>
      <c r="C63" s="923"/>
      <c r="D63" s="924"/>
      <c r="E63" s="924"/>
      <c r="F63" s="924"/>
      <c r="G63" s="924"/>
      <c r="H63" s="924"/>
      <c r="I63" s="924"/>
      <c r="J63" s="1714"/>
      <c r="K63" s="10"/>
    </row>
    <row r="64" spans="1:11" x14ac:dyDescent="0.3">
      <c r="A64" s="10"/>
      <c r="B64" s="1713"/>
      <c r="C64" s="881" t="s">
        <v>168</v>
      </c>
      <c r="D64" s="879"/>
      <c r="E64" s="879"/>
      <c r="F64" s="879"/>
      <c r="G64" s="879"/>
      <c r="H64" s="879"/>
      <c r="I64" s="879"/>
      <c r="J64" s="1714"/>
      <c r="K64" s="10"/>
    </row>
    <row r="65" spans="1:11" x14ac:dyDescent="0.3">
      <c r="A65" s="10"/>
      <c r="B65" s="1713"/>
      <c r="C65" s="2346" t="s">
        <v>1506</v>
      </c>
      <c r="D65" s="2347"/>
      <c r="E65" s="2347"/>
      <c r="F65" s="2348"/>
      <c r="G65" s="879"/>
      <c r="H65" s="879"/>
      <c r="I65" s="879"/>
      <c r="J65" s="1714"/>
      <c r="K65" s="10"/>
    </row>
    <row r="66" spans="1:11" x14ac:dyDescent="0.3">
      <c r="A66" s="10"/>
      <c r="B66" s="1713"/>
      <c r="C66" s="923"/>
      <c r="D66" s="879"/>
      <c r="E66" s="879"/>
      <c r="F66" s="879"/>
      <c r="G66" s="879"/>
      <c r="H66" s="879"/>
      <c r="I66" s="879"/>
      <c r="J66" s="1714"/>
      <c r="K66" s="10"/>
    </row>
    <row r="67" spans="1:11" ht="18" customHeight="1" x14ac:dyDescent="0.3">
      <c r="A67" s="10"/>
      <c r="B67" s="1713"/>
      <c r="C67" s="926" t="s">
        <v>865</v>
      </c>
      <c r="D67" s="879"/>
      <c r="E67" s="879"/>
      <c r="F67" s="879"/>
      <c r="G67" s="879"/>
      <c r="H67" s="879"/>
      <c r="I67" s="879"/>
      <c r="J67" s="1714"/>
      <c r="K67" s="10"/>
    </row>
    <row r="68" spans="1:11" x14ac:dyDescent="0.3">
      <c r="A68" s="10"/>
      <c r="B68" s="1713"/>
      <c r="C68" s="2305"/>
      <c r="D68" s="2293"/>
      <c r="E68" s="2293"/>
      <c r="F68" s="2293"/>
      <c r="G68" s="2293"/>
      <c r="H68" s="2293"/>
      <c r="I68" s="2294"/>
      <c r="J68" s="1714"/>
      <c r="K68" s="10"/>
    </row>
    <row r="69" spans="1:11" x14ac:dyDescent="0.3">
      <c r="A69" s="10"/>
      <c r="B69" s="1713"/>
      <c r="C69" s="2298"/>
      <c r="D69" s="2299"/>
      <c r="E69" s="2299"/>
      <c r="F69" s="2299"/>
      <c r="G69" s="2299"/>
      <c r="H69" s="2299"/>
      <c r="I69" s="2300"/>
      <c r="J69" s="1714"/>
      <c r="K69" s="10"/>
    </row>
    <row r="70" spans="1:11" x14ac:dyDescent="0.3">
      <c r="A70" s="10"/>
      <c r="B70" s="1713"/>
      <c r="C70" s="925"/>
      <c r="D70" s="925"/>
      <c r="E70" s="925"/>
      <c r="F70" s="925"/>
      <c r="G70" s="925"/>
      <c r="H70" s="925"/>
      <c r="I70" s="925"/>
      <c r="J70" s="1714"/>
      <c r="K70" s="10"/>
    </row>
    <row r="71" spans="1:11" ht="27.75" customHeight="1" x14ac:dyDescent="0.3">
      <c r="A71" s="10"/>
      <c r="B71" s="1737"/>
      <c r="C71" s="2328" t="s">
        <v>983</v>
      </c>
      <c r="D71" s="2328"/>
      <c r="E71" s="2329"/>
      <c r="F71" s="2330">
        <v>45167</v>
      </c>
      <c r="G71" s="2331"/>
      <c r="H71" s="2331"/>
      <c r="I71" s="2332"/>
      <c r="J71" s="1714"/>
      <c r="K71" s="10"/>
    </row>
    <row r="72" spans="1:11" x14ac:dyDescent="0.3">
      <c r="A72" s="10"/>
      <c r="B72" s="1715"/>
      <c r="C72" s="1716"/>
      <c r="D72" s="1716"/>
      <c r="E72" s="1716"/>
      <c r="F72" s="1716"/>
      <c r="G72" s="1716"/>
      <c r="H72" s="1716"/>
      <c r="I72" s="1716"/>
      <c r="J72" s="1717"/>
      <c r="K72" s="10"/>
    </row>
    <row r="73" spans="1:11" x14ac:dyDescent="0.3">
      <c r="A73" s="10"/>
      <c r="B73" s="1709"/>
      <c r="C73" s="1709"/>
      <c r="D73" s="1709"/>
      <c r="E73" s="1709"/>
      <c r="F73" s="1709"/>
      <c r="G73" s="1709"/>
      <c r="H73" s="1709"/>
      <c r="I73" s="1709"/>
      <c r="J73" s="1710"/>
      <c r="K73" s="10"/>
    </row>
    <row r="74" spans="1:11" x14ac:dyDescent="0.3">
      <c r="A74" s="10"/>
      <c r="B74" s="1711"/>
      <c r="C74" s="2335" t="s">
        <v>1232</v>
      </c>
      <c r="D74" s="2335"/>
      <c r="E74" s="2335"/>
      <c r="F74" s="2335"/>
      <c r="G74" s="2335"/>
      <c r="H74" s="2335"/>
      <c r="I74" s="2335"/>
      <c r="J74" s="1712"/>
      <c r="K74" s="10"/>
    </row>
    <row r="75" spans="1:11" x14ac:dyDescent="0.3">
      <c r="A75" s="10"/>
      <c r="B75" s="1713"/>
      <c r="C75" s="2336"/>
      <c r="D75" s="2336"/>
      <c r="E75" s="2336"/>
      <c r="F75" s="2336"/>
      <c r="G75" s="2336"/>
      <c r="H75" s="2336"/>
      <c r="I75" s="2336"/>
      <c r="J75" s="1714"/>
      <c r="K75" s="10"/>
    </row>
    <row r="76" spans="1:11" x14ac:dyDescent="0.3">
      <c r="A76" s="10"/>
      <c r="B76" s="1713"/>
      <c r="C76" s="2337"/>
      <c r="D76" s="2338"/>
      <c r="E76" s="2338"/>
      <c r="F76" s="2338"/>
      <c r="G76" s="2338"/>
      <c r="H76" s="2338"/>
      <c r="I76" s="2339"/>
      <c r="J76" s="1714"/>
      <c r="K76" s="10"/>
    </row>
    <row r="77" spans="1:11" x14ac:dyDescent="0.3">
      <c r="A77" s="10"/>
      <c r="B77" s="1713"/>
      <c r="C77" s="2340"/>
      <c r="D77" s="2341"/>
      <c r="E77" s="2341"/>
      <c r="F77" s="2341"/>
      <c r="G77" s="2341"/>
      <c r="H77" s="2341"/>
      <c r="I77" s="2342"/>
      <c r="J77" s="1714"/>
      <c r="K77" s="10"/>
    </row>
    <row r="78" spans="1:11" x14ac:dyDescent="0.3">
      <c r="A78" s="10"/>
      <c r="B78" s="1713"/>
      <c r="C78" s="2340"/>
      <c r="D78" s="2341"/>
      <c r="E78" s="2341"/>
      <c r="F78" s="2341"/>
      <c r="G78" s="2341"/>
      <c r="H78" s="2341"/>
      <c r="I78" s="2342"/>
      <c r="J78" s="1714"/>
      <c r="K78" s="10"/>
    </row>
    <row r="79" spans="1:11" x14ac:dyDescent="0.3">
      <c r="A79" s="10"/>
      <c r="B79" s="1713"/>
      <c r="C79" s="2340"/>
      <c r="D79" s="2341"/>
      <c r="E79" s="2341"/>
      <c r="F79" s="2341"/>
      <c r="G79" s="2341"/>
      <c r="H79" s="2341"/>
      <c r="I79" s="2342"/>
      <c r="J79" s="1714"/>
      <c r="K79" s="10"/>
    </row>
    <row r="80" spans="1:11" x14ac:dyDescent="0.3">
      <c r="A80" s="10"/>
      <c r="B80" s="1713"/>
      <c r="C80" s="2340"/>
      <c r="D80" s="2341"/>
      <c r="E80" s="2341"/>
      <c r="F80" s="2341"/>
      <c r="G80" s="2341"/>
      <c r="H80" s="2341"/>
      <c r="I80" s="2342"/>
      <c r="J80" s="1714"/>
      <c r="K80" s="10"/>
    </row>
    <row r="81" spans="1:11" x14ac:dyDescent="0.3">
      <c r="A81" s="10"/>
      <c r="B81" s="1713"/>
      <c r="C81" s="2343"/>
      <c r="D81" s="2344"/>
      <c r="E81" s="2344"/>
      <c r="F81" s="2344"/>
      <c r="G81" s="2344"/>
      <c r="H81" s="2344"/>
      <c r="I81" s="2345"/>
      <c r="J81" s="1714"/>
      <c r="K81" s="10"/>
    </row>
    <row r="82" spans="1:11" x14ac:dyDescent="0.3">
      <c r="A82" s="10"/>
      <c r="B82" s="1715"/>
      <c r="C82" s="1716"/>
      <c r="D82" s="1716"/>
      <c r="E82" s="1716"/>
      <c r="F82" s="1716"/>
      <c r="G82" s="1716"/>
      <c r="H82" s="1716"/>
      <c r="I82" s="1716"/>
      <c r="J82" s="1717"/>
      <c r="K82" s="10"/>
    </row>
    <row r="83" spans="1:11" x14ac:dyDescent="0.3">
      <c r="A83" s="10"/>
      <c r="B83" s="10"/>
      <c r="C83" s="10"/>
      <c r="D83" s="10"/>
      <c r="E83" s="10"/>
      <c r="F83" s="10"/>
      <c r="G83" s="10"/>
      <c r="H83" s="10"/>
      <c r="I83" s="10"/>
      <c r="J83" s="10"/>
      <c r="K83" s="10"/>
    </row>
    <row r="84" spans="1:11" x14ac:dyDescent="0.3">
      <c r="A84" s="10"/>
      <c r="B84" s="10"/>
      <c r="C84" s="10"/>
      <c r="D84" s="10"/>
      <c r="E84" s="10"/>
      <c r="F84" s="10"/>
      <c r="G84" s="10"/>
      <c r="H84" s="10"/>
      <c r="I84" s="10"/>
      <c r="J84" s="10"/>
      <c r="K84" s="10"/>
    </row>
    <row r="85" spans="1:11" x14ac:dyDescent="0.3">
      <c r="A85" s="10"/>
      <c r="B85" s="10"/>
      <c r="C85" s="10"/>
      <c r="D85" s="10"/>
      <c r="E85" s="10"/>
      <c r="F85" s="10"/>
      <c r="G85" s="10"/>
      <c r="H85" s="10"/>
      <c r="I85" s="10"/>
      <c r="J85" s="10"/>
      <c r="K85" s="10"/>
    </row>
    <row r="86" spans="1:11" x14ac:dyDescent="0.3">
      <c r="A86" s="10"/>
      <c r="B86" s="10"/>
      <c r="C86" s="10"/>
      <c r="D86" s="10"/>
      <c r="E86" s="10"/>
      <c r="F86" s="10"/>
      <c r="G86" s="10"/>
      <c r="H86" s="10"/>
      <c r="I86" s="10"/>
      <c r="J86" s="10"/>
      <c r="K86" s="10"/>
    </row>
    <row r="87" spans="1:11" s="1341" customFormat="1" x14ac:dyDescent="0.3"/>
    <row r="88" spans="1:11" s="1341" customFormat="1" x14ac:dyDescent="0.3"/>
    <row r="89" spans="1:11" s="1341" customFormat="1" x14ac:dyDescent="0.3"/>
    <row r="90" spans="1:11" s="1341" customFormat="1" x14ac:dyDescent="0.3"/>
    <row r="91" spans="1:11" s="1341" customFormat="1" x14ac:dyDescent="0.3"/>
    <row r="92" spans="1:11" s="1341" customFormat="1" x14ac:dyDescent="0.3"/>
    <row r="93" spans="1:11" s="1341" customFormat="1" x14ac:dyDescent="0.3"/>
    <row r="94" spans="1:11" s="1341" customFormat="1" x14ac:dyDescent="0.3"/>
    <row r="95" spans="1:11" s="1341" customFormat="1" x14ac:dyDescent="0.3"/>
    <row r="96" spans="1:11" s="1341" customFormat="1" x14ac:dyDescent="0.3"/>
    <row r="97" s="1341" customFormat="1" x14ac:dyDescent="0.3"/>
    <row r="98" s="1341" customFormat="1" x14ac:dyDescent="0.3"/>
    <row r="99" s="1341" customFormat="1" x14ac:dyDescent="0.3"/>
    <row r="100" s="1341" customFormat="1" x14ac:dyDescent="0.3"/>
    <row r="101" s="1341" customFormat="1" x14ac:dyDescent="0.3"/>
    <row r="102" s="1341" customFormat="1" x14ac:dyDescent="0.3"/>
    <row r="103" s="1341" customFormat="1" x14ac:dyDescent="0.3"/>
    <row r="104" s="1341" customFormat="1" x14ac:dyDescent="0.3"/>
    <row r="105" s="1341" customFormat="1" x14ac:dyDescent="0.3"/>
    <row r="106" s="1341" customFormat="1" x14ac:dyDescent="0.3"/>
    <row r="107" s="1341" customFormat="1" x14ac:dyDescent="0.3"/>
    <row r="108" s="1341" customFormat="1" x14ac:dyDescent="0.3"/>
    <row r="109" s="1341" customFormat="1" x14ac:dyDescent="0.3"/>
    <row r="110" s="1341" customFormat="1" x14ac:dyDescent="0.3"/>
    <row r="111" s="1341" customFormat="1" x14ac:dyDescent="0.3"/>
    <row r="112" s="1341" customFormat="1" x14ac:dyDescent="0.3"/>
    <row r="113" s="1341" customFormat="1" x14ac:dyDescent="0.3"/>
    <row r="114" s="1341" customFormat="1" x14ac:dyDescent="0.3"/>
    <row r="115" s="1341" customFormat="1" x14ac:dyDescent="0.3"/>
    <row r="116" s="1341" customFormat="1" x14ac:dyDescent="0.3"/>
    <row r="117" s="1341" customFormat="1" x14ac:dyDescent="0.3"/>
    <row r="118" s="1341" customFormat="1" x14ac:dyDescent="0.3"/>
    <row r="119" s="1341" customFormat="1" x14ac:dyDescent="0.3"/>
    <row r="120" s="1341" customFormat="1" x14ac:dyDescent="0.3"/>
    <row r="121" s="1341" customFormat="1" x14ac:dyDescent="0.3"/>
    <row r="122" s="1341" customFormat="1" x14ac:dyDescent="0.3"/>
    <row r="123" s="1341" customFormat="1" x14ac:dyDescent="0.3"/>
    <row r="124" s="1341" customFormat="1" x14ac:dyDescent="0.3"/>
    <row r="125" s="1341" customFormat="1" x14ac:dyDescent="0.3"/>
    <row r="126" s="1341" customFormat="1" x14ac:dyDescent="0.3"/>
    <row r="127" s="1341" customFormat="1" x14ac:dyDescent="0.3"/>
    <row r="128" s="1341" customFormat="1" x14ac:dyDescent="0.3"/>
    <row r="129" s="1341" customFormat="1" x14ac:dyDescent="0.3"/>
    <row r="130" s="1341" customFormat="1" x14ac:dyDescent="0.3"/>
    <row r="131" s="1341" customFormat="1" x14ac:dyDescent="0.3"/>
    <row r="132" s="1341" customFormat="1" x14ac:dyDescent="0.3"/>
    <row r="133" s="1341" customFormat="1" x14ac:dyDescent="0.3"/>
    <row r="134" s="1341" customFormat="1" x14ac:dyDescent="0.3"/>
    <row r="135" s="1341" customFormat="1" x14ac:dyDescent="0.3"/>
    <row r="136" s="1341" customFormat="1" x14ac:dyDescent="0.3"/>
    <row r="137" s="1341" customFormat="1" x14ac:dyDescent="0.3"/>
    <row r="138" s="1341" customFormat="1" x14ac:dyDescent="0.3"/>
    <row r="139" s="1341" customFormat="1" x14ac:dyDescent="0.3"/>
    <row r="140" s="1341" customFormat="1" x14ac:dyDescent="0.3"/>
    <row r="141" s="1341" customFormat="1" x14ac:dyDescent="0.3"/>
    <row r="142" s="1341" customFormat="1" x14ac:dyDescent="0.3"/>
    <row r="143" s="1341" customFormat="1" x14ac:dyDescent="0.3"/>
    <row r="144" s="1341" customFormat="1" x14ac:dyDescent="0.3"/>
    <row r="145" s="1341" customFormat="1" x14ac:dyDescent="0.3"/>
    <row r="146" s="1341" customFormat="1" x14ac:dyDescent="0.3"/>
    <row r="147" s="1341" customFormat="1" x14ac:dyDescent="0.3"/>
    <row r="148" s="1341" customFormat="1" x14ac:dyDescent="0.3"/>
    <row r="149" s="1341" customFormat="1" x14ac:dyDescent="0.3"/>
    <row r="150" s="1341" customFormat="1" x14ac:dyDescent="0.3"/>
    <row r="151" s="1341" customFormat="1" x14ac:dyDescent="0.3"/>
    <row r="152" s="1341" customFormat="1" x14ac:dyDescent="0.3"/>
    <row r="153" s="1341" customFormat="1" x14ac:dyDescent="0.3"/>
    <row r="154" s="1341" customFormat="1" x14ac:dyDescent="0.3"/>
    <row r="155" s="1341" customFormat="1" x14ac:dyDescent="0.3"/>
    <row r="156" s="1341" customFormat="1" x14ac:dyDescent="0.3"/>
    <row r="157" s="1341" customFormat="1" x14ac:dyDescent="0.3"/>
    <row r="158" s="1341" customFormat="1" x14ac:dyDescent="0.3"/>
    <row r="159" s="1341" customFormat="1" x14ac:dyDescent="0.3"/>
    <row r="160" s="1341" customFormat="1" x14ac:dyDescent="0.3"/>
    <row r="161" s="1341" customFormat="1" x14ac:dyDescent="0.3"/>
    <row r="162" s="1341" customFormat="1" x14ac:dyDescent="0.3"/>
    <row r="163" s="1341" customFormat="1" x14ac:dyDescent="0.3"/>
    <row r="164" s="1341" customFormat="1" x14ac:dyDescent="0.3"/>
    <row r="165" s="1341" customFormat="1" x14ac:dyDescent="0.3"/>
    <row r="166" s="1341" customFormat="1" x14ac:dyDescent="0.3"/>
    <row r="167" s="1341" customFormat="1" x14ac:dyDescent="0.3"/>
    <row r="168" s="1341" customFormat="1" x14ac:dyDescent="0.3"/>
    <row r="169" s="1341" customFormat="1" x14ac:dyDescent="0.3"/>
    <row r="170" s="1341" customFormat="1" x14ac:dyDescent="0.3"/>
    <row r="171" s="1341" customFormat="1" x14ac:dyDescent="0.3"/>
    <row r="172" s="1341" customFormat="1" x14ac:dyDescent="0.3"/>
    <row r="173" s="1341" customFormat="1" x14ac:dyDescent="0.3"/>
    <row r="174" s="1341" customFormat="1" x14ac:dyDescent="0.3"/>
    <row r="175" s="1341" customFormat="1" x14ac:dyDescent="0.3"/>
    <row r="176" s="1341" customFormat="1" x14ac:dyDescent="0.3"/>
    <row r="177" s="1341" customFormat="1" x14ac:dyDescent="0.3"/>
    <row r="178" s="1341" customFormat="1" x14ac:dyDescent="0.3"/>
    <row r="179" s="1341" customFormat="1" x14ac:dyDescent="0.3"/>
    <row r="180" s="1341" customFormat="1" x14ac:dyDescent="0.3"/>
    <row r="181" s="1341" customFormat="1" x14ac:dyDescent="0.3"/>
    <row r="182" s="1341" customFormat="1" x14ac:dyDescent="0.3"/>
    <row r="183" s="1341" customFormat="1" x14ac:dyDescent="0.3"/>
    <row r="184" s="1341" customFormat="1" x14ac:dyDescent="0.3"/>
    <row r="185" s="1341" customFormat="1" x14ac:dyDescent="0.3"/>
    <row r="186" s="1341" customFormat="1" x14ac:dyDescent="0.3"/>
    <row r="187" s="1341" customFormat="1" x14ac:dyDescent="0.3"/>
    <row r="188" s="1341" customFormat="1" x14ac:dyDescent="0.3"/>
    <row r="189" s="1341" customFormat="1" x14ac:dyDescent="0.3"/>
    <row r="190" s="1341" customFormat="1" x14ac:dyDescent="0.3"/>
    <row r="191" s="1341" customFormat="1" x14ac:dyDescent="0.3"/>
    <row r="192" s="1341" customFormat="1" x14ac:dyDescent="0.3"/>
    <row r="193" s="1341" customFormat="1" x14ac:dyDescent="0.3"/>
    <row r="194" s="1341" customFormat="1" x14ac:dyDescent="0.3"/>
    <row r="195" s="1341" customFormat="1" x14ac:dyDescent="0.3"/>
    <row r="196" s="1341" customFormat="1" x14ac:dyDescent="0.3"/>
    <row r="197" s="1341" customFormat="1" x14ac:dyDescent="0.3"/>
    <row r="198" s="1341" customFormat="1" x14ac:dyDescent="0.3"/>
    <row r="199" s="1341" customFormat="1" x14ac:dyDescent="0.3"/>
    <row r="200" s="1341" customFormat="1" x14ac:dyDescent="0.3"/>
    <row r="201" s="1341" customFormat="1" x14ac:dyDescent="0.3"/>
    <row r="202" s="1341" customFormat="1" x14ac:dyDescent="0.3"/>
    <row r="203" s="1341" customFormat="1" x14ac:dyDescent="0.3"/>
    <row r="204" s="1341" customFormat="1" x14ac:dyDescent="0.3"/>
    <row r="205" s="1341" customFormat="1" x14ac:dyDescent="0.3"/>
    <row r="206" s="1341" customFormat="1" x14ac:dyDescent="0.3"/>
    <row r="207" s="1341" customFormat="1" x14ac:dyDescent="0.3"/>
    <row r="208" s="1341" customFormat="1" x14ac:dyDescent="0.3"/>
    <row r="209" s="1341" customFormat="1" x14ac:dyDescent="0.3"/>
    <row r="210" s="1341" customFormat="1" x14ac:dyDescent="0.3"/>
    <row r="211" s="1341" customFormat="1" x14ac:dyDescent="0.3"/>
    <row r="212" s="1341" customFormat="1" x14ac:dyDescent="0.3"/>
    <row r="213" s="1341" customFormat="1" x14ac:dyDescent="0.3"/>
    <row r="214" s="1341" customFormat="1" x14ac:dyDescent="0.3"/>
    <row r="215" s="1341" customFormat="1" x14ac:dyDescent="0.3"/>
    <row r="216" s="1341" customFormat="1" x14ac:dyDescent="0.3"/>
    <row r="217" s="1341" customFormat="1" x14ac:dyDescent="0.3"/>
    <row r="218" s="1341" customFormat="1" x14ac:dyDescent="0.3"/>
    <row r="219" s="1341" customFormat="1" x14ac:dyDescent="0.3"/>
    <row r="220" s="1341" customFormat="1" x14ac:dyDescent="0.3"/>
    <row r="221" s="1341" customFormat="1" x14ac:dyDescent="0.3"/>
    <row r="222" s="1341" customFormat="1" x14ac:dyDescent="0.3"/>
    <row r="223" s="1341" customFormat="1" x14ac:dyDescent="0.3"/>
    <row r="224" s="1341" customFormat="1" x14ac:dyDescent="0.3"/>
    <row r="225" s="1341" customFormat="1" x14ac:dyDescent="0.3"/>
    <row r="226" s="1341" customFormat="1" x14ac:dyDescent="0.3"/>
    <row r="227" s="1341" customFormat="1" x14ac:dyDescent="0.3"/>
    <row r="228" s="1341" customFormat="1" x14ac:dyDescent="0.3"/>
    <row r="229" s="1341" customFormat="1" x14ac:dyDescent="0.3"/>
    <row r="230" s="1341" customFormat="1" x14ac:dyDescent="0.3"/>
    <row r="231" s="1341" customFormat="1" x14ac:dyDescent="0.3"/>
    <row r="232" s="1341" customFormat="1" x14ac:dyDescent="0.3"/>
    <row r="233" s="1341" customFormat="1" x14ac:dyDescent="0.3"/>
    <row r="234" s="1341" customFormat="1" x14ac:dyDescent="0.3"/>
    <row r="235" s="1341" customFormat="1" x14ac:dyDescent="0.3"/>
    <row r="236" s="1341" customFormat="1" x14ac:dyDescent="0.3"/>
    <row r="237" s="1341" customFormat="1" x14ac:dyDescent="0.3"/>
    <row r="238" s="1341" customFormat="1" x14ac:dyDescent="0.3"/>
    <row r="239" s="1341" customFormat="1" x14ac:dyDescent="0.3"/>
    <row r="240" s="1341" customFormat="1" x14ac:dyDescent="0.3"/>
    <row r="241" s="1341" customFormat="1" x14ac:dyDescent="0.3"/>
    <row r="242" s="1341" customFormat="1" x14ac:dyDescent="0.3"/>
    <row r="243" s="1341" customFormat="1" x14ac:dyDescent="0.3"/>
    <row r="244" s="1341" customFormat="1" x14ac:dyDescent="0.3"/>
    <row r="245" s="1341" customFormat="1" x14ac:dyDescent="0.3"/>
    <row r="246" s="1341" customFormat="1" x14ac:dyDescent="0.3"/>
    <row r="247" s="1341" customFormat="1" x14ac:dyDescent="0.3"/>
    <row r="248" s="1341" customFormat="1" x14ac:dyDescent="0.3"/>
    <row r="249" s="1341" customFormat="1" x14ac:dyDescent="0.3"/>
    <row r="250" s="1341" customFormat="1" x14ac:dyDescent="0.3"/>
    <row r="251" s="1341" customFormat="1" x14ac:dyDescent="0.3"/>
    <row r="252" s="1341" customFormat="1" x14ac:dyDescent="0.3"/>
    <row r="253" s="1341" customFormat="1" x14ac:dyDescent="0.3"/>
    <row r="254" s="1341" customFormat="1" x14ac:dyDescent="0.3"/>
    <row r="255" s="1341" customFormat="1" x14ac:dyDescent="0.3"/>
    <row r="256" s="1341" customFormat="1" x14ac:dyDescent="0.3"/>
    <row r="257" spans="1:11" s="1341" customFormat="1" x14ac:dyDescent="0.3"/>
    <row r="258" spans="1:11" x14ac:dyDescent="0.3">
      <c r="A258" s="10"/>
      <c r="B258" s="10"/>
      <c r="C258" s="10"/>
      <c r="D258" s="10"/>
      <c r="E258" s="10"/>
      <c r="F258" s="10"/>
      <c r="G258" s="10"/>
      <c r="H258" s="10"/>
      <c r="I258" s="10"/>
      <c r="J258" s="10"/>
      <c r="K258" s="10"/>
    </row>
    <row r="259" spans="1:11" x14ac:dyDescent="0.3">
      <c r="A259" s="10"/>
      <c r="B259" s="10"/>
      <c r="C259" s="10"/>
      <c r="D259" s="10"/>
      <c r="E259" s="10"/>
      <c r="F259" s="10"/>
      <c r="G259" s="10"/>
      <c r="H259" s="10"/>
      <c r="I259" s="10"/>
      <c r="J259" s="10"/>
      <c r="K259" s="10"/>
    </row>
    <row r="260" spans="1:11" x14ac:dyDescent="0.3">
      <c r="A260" s="10"/>
      <c r="B260" s="10"/>
      <c r="C260" s="10"/>
      <c r="D260" s="10"/>
      <c r="E260" s="10"/>
      <c r="F260" s="10"/>
      <c r="G260" s="10"/>
      <c r="H260" s="10"/>
      <c r="I260" s="10"/>
      <c r="J260" s="10"/>
      <c r="K260" s="10"/>
    </row>
    <row r="261" spans="1:11" x14ac:dyDescent="0.3">
      <c r="A261" s="10"/>
      <c r="B261" s="10"/>
      <c r="C261" s="10"/>
      <c r="D261" s="10"/>
      <c r="E261" s="10"/>
      <c r="F261" s="10"/>
      <c r="G261" s="10"/>
      <c r="H261" s="10"/>
      <c r="I261" s="10"/>
      <c r="J261" s="10"/>
      <c r="K261" s="10"/>
    </row>
    <row r="262" spans="1:11" x14ac:dyDescent="0.3">
      <c r="A262" s="10"/>
      <c r="B262" s="10"/>
      <c r="C262" s="10"/>
      <c r="D262" s="10"/>
      <c r="E262" s="10"/>
      <c r="F262" s="10"/>
      <c r="G262" s="10"/>
      <c r="H262" s="10"/>
      <c r="I262" s="10"/>
      <c r="J262" s="10"/>
      <c r="K262" s="10"/>
    </row>
    <row r="263" spans="1:11" x14ac:dyDescent="0.3">
      <c r="A263" s="10"/>
      <c r="B263" s="10"/>
      <c r="C263" s="10"/>
      <c r="D263" s="10"/>
      <c r="E263" s="10"/>
      <c r="F263" s="10"/>
      <c r="G263" s="10"/>
      <c r="H263" s="10"/>
      <c r="I263" s="10"/>
      <c r="J263" s="10"/>
      <c r="K263" s="10"/>
    </row>
    <row r="264" spans="1:11" x14ac:dyDescent="0.3">
      <c r="A264" s="10"/>
      <c r="B264" s="10"/>
      <c r="C264" s="10"/>
      <c r="D264" s="10"/>
      <c r="E264" s="10"/>
      <c r="F264" s="10"/>
      <c r="G264" s="10"/>
      <c r="H264" s="10"/>
      <c r="I264" s="10"/>
      <c r="J264" s="10"/>
      <c r="K264" s="10"/>
    </row>
    <row r="265" spans="1:11" x14ac:dyDescent="0.3">
      <c r="A265" s="10"/>
      <c r="B265" s="10"/>
      <c r="C265" s="10"/>
      <c r="D265" s="10"/>
      <c r="E265" s="10"/>
      <c r="F265" s="10"/>
      <c r="G265" s="10"/>
      <c r="H265" s="10"/>
      <c r="I265" s="10"/>
      <c r="J265" s="10"/>
      <c r="K265" s="10"/>
    </row>
    <row r="266" spans="1:11" x14ac:dyDescent="0.3">
      <c r="A266" s="10"/>
      <c r="B266" s="10"/>
      <c r="C266" s="10"/>
      <c r="D266" s="10"/>
      <c r="E266" s="10"/>
      <c r="F266" s="10"/>
      <c r="G266" s="10"/>
      <c r="H266" s="10"/>
      <c r="I266" s="10"/>
      <c r="J266" s="10"/>
      <c r="K266" s="10"/>
    </row>
    <row r="267" spans="1:11" x14ac:dyDescent="0.3">
      <c r="A267" s="10"/>
      <c r="B267" s="10"/>
      <c r="C267" s="10"/>
      <c r="D267" s="10"/>
      <c r="E267" s="10"/>
      <c r="F267" s="10"/>
      <c r="G267" s="10"/>
      <c r="H267" s="10"/>
      <c r="I267" s="10"/>
      <c r="J267" s="10"/>
      <c r="K267" s="10"/>
    </row>
    <row r="268" spans="1:11" x14ac:dyDescent="0.3">
      <c r="A268" s="10"/>
      <c r="B268" s="10"/>
      <c r="C268" s="10"/>
      <c r="D268" s="10"/>
      <c r="E268" s="10"/>
      <c r="F268" s="10"/>
      <c r="G268" s="10"/>
      <c r="H268" s="10"/>
      <c r="I268" s="10"/>
      <c r="J268" s="10"/>
      <c r="K268" s="10"/>
    </row>
    <row r="269" spans="1:11" x14ac:dyDescent="0.3">
      <c r="A269" s="10"/>
      <c r="B269" s="10"/>
      <c r="C269" s="10"/>
      <c r="D269" s="10"/>
      <c r="E269" s="10"/>
      <c r="F269" s="10"/>
      <c r="G269" s="10"/>
      <c r="H269" s="10"/>
      <c r="I269" s="10"/>
      <c r="J269" s="10"/>
      <c r="K269" s="10"/>
    </row>
    <row r="270" spans="1:11" x14ac:dyDescent="0.3">
      <c r="A270" s="10"/>
      <c r="B270" s="10"/>
      <c r="C270" s="10"/>
      <c r="D270" s="10"/>
      <c r="E270" s="10"/>
      <c r="F270" s="10"/>
      <c r="G270" s="10"/>
      <c r="H270" s="10"/>
      <c r="I270" s="10"/>
      <c r="J270" s="10"/>
      <c r="K270" s="10"/>
    </row>
    <row r="271" spans="1:11" x14ac:dyDescent="0.3">
      <c r="A271" s="10"/>
      <c r="B271" s="10"/>
      <c r="C271" s="10"/>
      <c r="D271" s="10"/>
      <c r="E271" s="10"/>
      <c r="F271" s="10"/>
      <c r="G271" s="10"/>
      <c r="H271" s="10"/>
      <c r="I271" s="10"/>
      <c r="J271" s="10"/>
      <c r="K271" s="10"/>
    </row>
    <row r="272" spans="1:11" x14ac:dyDescent="0.3">
      <c r="A272" s="10"/>
      <c r="B272" s="10"/>
      <c r="C272" s="10"/>
      <c r="D272" s="10"/>
      <c r="E272" s="10"/>
      <c r="F272" s="10"/>
      <c r="G272" s="10"/>
      <c r="H272" s="10"/>
      <c r="I272" s="10"/>
      <c r="J272" s="10"/>
      <c r="K272" s="10"/>
    </row>
    <row r="273" spans="1:11" x14ac:dyDescent="0.3">
      <c r="A273" s="10"/>
      <c r="B273" s="10"/>
      <c r="C273" s="10"/>
      <c r="D273" s="10"/>
      <c r="E273" s="10"/>
      <c r="F273" s="10"/>
      <c r="G273" s="10"/>
      <c r="H273" s="10"/>
      <c r="I273" s="10"/>
      <c r="J273" s="10"/>
      <c r="K273" s="10"/>
    </row>
    <row r="274" spans="1:11" x14ac:dyDescent="0.3">
      <c r="A274" s="10"/>
      <c r="B274" s="10"/>
      <c r="C274" s="10"/>
      <c r="D274" s="10"/>
      <c r="E274" s="10"/>
      <c r="F274" s="10"/>
      <c r="G274" s="10"/>
      <c r="H274" s="10"/>
      <c r="I274" s="10"/>
      <c r="J274" s="10"/>
      <c r="K274" s="10"/>
    </row>
    <row r="275" spans="1:11" x14ac:dyDescent="0.3">
      <c r="A275" s="10"/>
      <c r="B275" s="10"/>
      <c r="C275" s="10"/>
      <c r="D275" s="10"/>
      <c r="E275" s="10"/>
      <c r="F275" s="10"/>
      <c r="G275" s="10"/>
      <c r="H275" s="10"/>
      <c r="I275" s="10"/>
      <c r="J275" s="10"/>
      <c r="K275" s="10"/>
    </row>
    <row r="276" spans="1:11" x14ac:dyDescent="0.3">
      <c r="A276" s="10"/>
      <c r="B276" s="10"/>
      <c r="C276" s="10"/>
      <c r="D276" s="10"/>
      <c r="E276" s="10"/>
      <c r="F276" s="10"/>
      <c r="G276" s="10"/>
      <c r="H276" s="10"/>
      <c r="I276" s="10"/>
      <c r="J276" s="10"/>
      <c r="K276" s="10"/>
    </row>
    <row r="277" spans="1:11" x14ac:dyDescent="0.3">
      <c r="A277" s="10"/>
      <c r="B277" s="10"/>
      <c r="C277" s="10"/>
      <c r="D277" s="10"/>
      <c r="E277" s="10"/>
      <c r="F277" s="10"/>
      <c r="G277" s="10"/>
      <c r="H277" s="10"/>
      <c r="I277" s="10"/>
      <c r="J277" s="10"/>
      <c r="K277" s="10"/>
    </row>
    <row r="278" spans="1:11" x14ac:dyDescent="0.3">
      <c r="A278" s="10"/>
      <c r="B278" s="10"/>
      <c r="C278" s="10"/>
      <c r="D278" s="10"/>
      <c r="E278" s="10"/>
      <c r="F278" s="10"/>
      <c r="G278" s="10"/>
      <c r="H278" s="10"/>
      <c r="I278" s="10"/>
      <c r="J278" s="10"/>
      <c r="K278" s="10"/>
    </row>
    <row r="279" spans="1:11" x14ac:dyDescent="0.3">
      <c r="A279" s="10"/>
      <c r="B279" s="10"/>
      <c r="C279" s="10"/>
      <c r="D279" s="10"/>
      <c r="E279" s="10"/>
      <c r="F279" s="10"/>
      <c r="G279" s="10"/>
      <c r="H279" s="10"/>
      <c r="I279" s="10"/>
      <c r="J279" s="10"/>
      <c r="K279" s="10"/>
    </row>
    <row r="280" spans="1:11" x14ac:dyDescent="0.3">
      <c r="A280" s="10"/>
      <c r="B280" s="10"/>
      <c r="C280" s="10"/>
      <c r="D280" s="10"/>
      <c r="E280" s="10"/>
      <c r="F280" s="10"/>
      <c r="G280" s="10"/>
      <c r="H280" s="10"/>
      <c r="I280" s="10"/>
      <c r="J280" s="10"/>
      <c r="K280" s="10"/>
    </row>
    <row r="281" spans="1:11" x14ac:dyDescent="0.3">
      <c r="A281" s="10"/>
      <c r="B281" s="10"/>
      <c r="C281" s="10"/>
      <c r="D281" s="10"/>
      <c r="E281" s="10"/>
      <c r="F281" s="10"/>
      <c r="G281" s="10"/>
      <c r="H281" s="10"/>
      <c r="I281" s="10"/>
      <c r="J281" s="10"/>
      <c r="K281" s="10"/>
    </row>
    <row r="282" spans="1:11" x14ac:dyDescent="0.3">
      <c r="A282" s="10"/>
      <c r="B282" s="10"/>
      <c r="C282" s="10"/>
      <c r="D282" s="10"/>
      <c r="E282" s="10"/>
      <c r="F282" s="10"/>
      <c r="G282" s="10"/>
      <c r="H282" s="10"/>
      <c r="I282" s="10"/>
      <c r="J282" s="10"/>
      <c r="K282" s="10"/>
    </row>
    <row r="283" spans="1:11" x14ac:dyDescent="0.3">
      <c r="A283" s="10"/>
      <c r="B283" s="10"/>
      <c r="C283" s="10"/>
      <c r="D283" s="10"/>
      <c r="E283" s="10"/>
      <c r="F283" s="10"/>
      <c r="G283" s="10"/>
      <c r="H283" s="10"/>
      <c r="I283" s="10"/>
      <c r="J283" s="10"/>
      <c r="K283" s="10"/>
    </row>
    <row r="284" spans="1:11" x14ac:dyDescent="0.3">
      <c r="A284" s="10"/>
      <c r="B284" s="10"/>
      <c r="C284" s="10"/>
      <c r="D284" s="10"/>
      <c r="E284" s="10"/>
      <c r="F284" s="10"/>
      <c r="G284" s="10"/>
      <c r="H284" s="10"/>
      <c r="I284" s="10"/>
      <c r="J284" s="10"/>
      <c r="K284" s="10"/>
    </row>
    <row r="285" spans="1:11" x14ac:dyDescent="0.3">
      <c r="A285" s="10"/>
      <c r="B285" s="10"/>
      <c r="C285" s="10"/>
      <c r="D285" s="10"/>
      <c r="E285" s="10"/>
      <c r="F285" s="10"/>
      <c r="G285" s="10"/>
      <c r="H285" s="10"/>
      <c r="I285" s="10"/>
      <c r="J285" s="10"/>
      <c r="K285" s="10"/>
    </row>
    <row r="286" spans="1:11" x14ac:dyDescent="0.3">
      <c r="A286" s="10"/>
      <c r="B286" s="10"/>
      <c r="C286" s="10"/>
      <c r="D286" s="10"/>
      <c r="E286" s="10"/>
      <c r="F286" s="10"/>
      <c r="G286" s="10"/>
      <c r="H286" s="10"/>
      <c r="I286" s="10"/>
      <c r="J286" s="10"/>
      <c r="K286" s="10"/>
    </row>
    <row r="287" spans="1:11" x14ac:dyDescent="0.3">
      <c r="A287" s="10"/>
      <c r="B287" s="10"/>
      <c r="C287" s="10"/>
      <c r="D287" s="10"/>
      <c r="E287" s="10"/>
      <c r="F287" s="10"/>
      <c r="G287" s="10"/>
      <c r="H287" s="10"/>
      <c r="I287" s="10"/>
      <c r="J287" s="10"/>
      <c r="K287" s="10"/>
    </row>
    <row r="288" spans="1:11" x14ac:dyDescent="0.3">
      <c r="A288" s="10"/>
      <c r="B288" s="10"/>
      <c r="C288" s="10"/>
      <c r="D288" s="10"/>
      <c r="E288" s="10"/>
      <c r="F288" s="10"/>
      <c r="G288" s="10"/>
      <c r="H288" s="10"/>
      <c r="I288" s="10"/>
      <c r="J288" s="10"/>
      <c r="K288" s="10"/>
    </row>
    <row r="289" spans="1:11" x14ac:dyDescent="0.3">
      <c r="A289" s="10"/>
      <c r="B289" s="10"/>
      <c r="C289" s="10"/>
      <c r="D289" s="10"/>
      <c r="E289" s="10"/>
      <c r="F289" s="10"/>
      <c r="G289" s="10"/>
      <c r="H289" s="10"/>
      <c r="I289" s="10"/>
      <c r="J289" s="10"/>
      <c r="K289" s="10"/>
    </row>
    <row r="290" spans="1:11" x14ac:dyDescent="0.3">
      <c r="A290" s="10"/>
      <c r="B290" s="10"/>
      <c r="C290" s="10"/>
      <c r="D290" s="10"/>
      <c r="E290" s="10"/>
      <c r="F290" s="10"/>
      <c r="G290" s="10"/>
      <c r="H290" s="10"/>
      <c r="I290" s="10"/>
      <c r="J290" s="10"/>
      <c r="K290" s="10"/>
    </row>
    <row r="291" spans="1:11" x14ac:dyDescent="0.3">
      <c r="A291" s="10"/>
      <c r="B291" s="10"/>
      <c r="C291" s="10"/>
      <c r="D291" s="10"/>
      <c r="E291" s="10"/>
      <c r="F291" s="10"/>
      <c r="G291" s="10"/>
      <c r="H291" s="10"/>
      <c r="I291" s="10"/>
      <c r="J291" s="10"/>
      <c r="K291" s="10"/>
    </row>
    <row r="292" spans="1:11" x14ac:dyDescent="0.3">
      <c r="A292" s="10"/>
      <c r="B292" s="10"/>
      <c r="C292" s="10"/>
      <c r="D292" s="10"/>
      <c r="E292" s="10"/>
      <c r="F292" s="10"/>
      <c r="G292" s="10"/>
      <c r="H292" s="10"/>
      <c r="I292" s="10"/>
      <c r="J292" s="10"/>
      <c r="K292" s="10"/>
    </row>
    <row r="293" spans="1:11" x14ac:dyDescent="0.3">
      <c r="A293" s="10"/>
      <c r="B293" s="10"/>
      <c r="C293" s="10"/>
      <c r="D293" s="10"/>
      <c r="E293" s="10"/>
      <c r="F293" s="10"/>
      <c r="G293" s="10"/>
      <c r="H293" s="10"/>
      <c r="I293" s="10"/>
      <c r="J293" s="10"/>
      <c r="K293" s="10"/>
    </row>
    <row r="294" spans="1:11" x14ac:dyDescent="0.3">
      <c r="A294" s="10"/>
      <c r="B294" s="10"/>
      <c r="C294" s="10"/>
      <c r="D294" s="10"/>
      <c r="E294" s="10"/>
      <c r="F294" s="10"/>
      <c r="G294" s="10"/>
      <c r="H294" s="10"/>
      <c r="I294" s="10"/>
      <c r="J294" s="10"/>
      <c r="K294" s="10"/>
    </row>
    <row r="295" spans="1:11" x14ac:dyDescent="0.3">
      <c r="A295" s="10"/>
      <c r="B295" s="10"/>
      <c r="C295" s="10"/>
      <c r="D295" s="10"/>
      <c r="E295" s="10"/>
      <c r="F295" s="10"/>
      <c r="G295" s="10"/>
      <c r="H295" s="10"/>
      <c r="I295" s="10"/>
      <c r="J295" s="10"/>
      <c r="K295" s="10"/>
    </row>
    <row r="296" spans="1:11" x14ac:dyDescent="0.3">
      <c r="A296" s="10"/>
      <c r="B296" s="10"/>
      <c r="C296" s="10"/>
      <c r="D296" s="10"/>
      <c r="E296" s="10"/>
      <c r="F296" s="10"/>
      <c r="G296" s="10"/>
      <c r="H296" s="10"/>
      <c r="I296" s="10"/>
      <c r="J296" s="10"/>
      <c r="K296" s="10"/>
    </row>
    <row r="297" spans="1:11" x14ac:dyDescent="0.3">
      <c r="A297" s="10"/>
      <c r="B297" s="10"/>
      <c r="C297" s="10"/>
      <c r="D297" s="10"/>
      <c r="E297" s="10"/>
      <c r="F297" s="10"/>
      <c r="G297" s="10"/>
      <c r="H297" s="10"/>
      <c r="I297" s="10"/>
      <c r="J297" s="10"/>
      <c r="K297" s="10"/>
    </row>
    <row r="298" spans="1:11" x14ac:dyDescent="0.3">
      <c r="A298" s="10"/>
      <c r="B298" s="10"/>
      <c r="C298" s="10"/>
      <c r="D298" s="10"/>
      <c r="E298" s="10"/>
      <c r="F298" s="10"/>
      <c r="G298" s="10"/>
      <c r="H298" s="10"/>
      <c r="I298" s="10"/>
      <c r="J298" s="10"/>
      <c r="K298" s="10"/>
    </row>
    <row r="299" spans="1:11" x14ac:dyDescent="0.3">
      <c r="A299" s="10"/>
      <c r="B299" s="10"/>
      <c r="C299" s="10"/>
      <c r="D299" s="10"/>
      <c r="E299" s="10"/>
      <c r="F299" s="10"/>
      <c r="G299" s="10"/>
      <c r="H299" s="10"/>
      <c r="I299" s="10"/>
      <c r="J299" s="10"/>
      <c r="K299" s="10"/>
    </row>
    <row r="300" spans="1:11" x14ac:dyDescent="0.3">
      <c r="A300" s="10"/>
      <c r="B300" s="10"/>
      <c r="C300" s="10"/>
      <c r="D300" s="10"/>
      <c r="E300" s="10"/>
      <c r="F300" s="10"/>
      <c r="G300" s="10"/>
      <c r="H300" s="10"/>
      <c r="I300" s="10"/>
      <c r="J300" s="10"/>
      <c r="K300" s="10"/>
    </row>
    <row r="301" spans="1:11" x14ac:dyDescent="0.3">
      <c r="A301" s="10"/>
      <c r="B301" s="10"/>
      <c r="C301" s="10"/>
      <c r="D301" s="10"/>
      <c r="E301" s="10"/>
      <c r="F301" s="10"/>
      <c r="G301" s="10"/>
      <c r="H301" s="10"/>
      <c r="I301" s="10"/>
      <c r="J301" s="10"/>
      <c r="K301" s="10"/>
    </row>
    <row r="302" spans="1:11" x14ac:dyDescent="0.3">
      <c r="A302" s="10"/>
      <c r="B302" s="10"/>
      <c r="C302" s="10"/>
      <c r="D302" s="10"/>
      <c r="E302" s="10"/>
      <c r="F302" s="10"/>
      <c r="G302" s="10"/>
      <c r="H302" s="10"/>
      <c r="I302" s="10"/>
      <c r="J302" s="10"/>
      <c r="K302" s="10"/>
    </row>
    <row r="303" spans="1:11" x14ac:dyDescent="0.3">
      <c r="A303" s="10"/>
      <c r="B303" s="10"/>
      <c r="C303" s="10"/>
      <c r="D303" s="10"/>
      <c r="E303" s="10"/>
      <c r="F303" s="10"/>
      <c r="G303" s="10"/>
      <c r="H303" s="10"/>
      <c r="I303" s="10"/>
      <c r="J303" s="10"/>
      <c r="K303" s="10"/>
    </row>
    <row r="304" spans="1:11" x14ac:dyDescent="0.3">
      <c r="A304" s="10"/>
      <c r="B304" s="10"/>
      <c r="C304" s="10"/>
      <c r="D304" s="10"/>
      <c r="E304" s="10"/>
      <c r="F304" s="10"/>
      <c r="G304" s="10"/>
      <c r="H304" s="10"/>
      <c r="I304" s="10"/>
      <c r="J304" s="10"/>
      <c r="K304" s="10"/>
    </row>
    <row r="305" spans="1:11" x14ac:dyDescent="0.3">
      <c r="A305" s="10"/>
      <c r="B305" s="10"/>
      <c r="C305" s="10"/>
      <c r="D305" s="10"/>
      <c r="E305" s="10"/>
      <c r="F305" s="10"/>
      <c r="G305" s="10"/>
      <c r="H305" s="10"/>
      <c r="I305" s="10"/>
      <c r="J305" s="10"/>
      <c r="K305" s="10"/>
    </row>
    <row r="306" spans="1:11" x14ac:dyDescent="0.3">
      <c r="A306" s="10"/>
      <c r="B306" s="10"/>
      <c r="C306" s="10"/>
      <c r="D306" s="10"/>
      <c r="E306" s="10"/>
      <c r="F306" s="10"/>
      <c r="G306" s="10"/>
      <c r="H306" s="10"/>
      <c r="I306" s="10"/>
      <c r="J306" s="10"/>
      <c r="K306" s="10"/>
    </row>
    <row r="307" spans="1:11" x14ac:dyDescent="0.3">
      <c r="A307" s="10"/>
      <c r="B307" s="10"/>
      <c r="C307" s="10"/>
      <c r="D307" s="10"/>
      <c r="E307" s="10"/>
      <c r="F307" s="10"/>
      <c r="G307" s="10"/>
      <c r="H307" s="10"/>
      <c r="I307" s="10"/>
      <c r="J307" s="10"/>
      <c r="K307" s="10"/>
    </row>
    <row r="308" spans="1:11" x14ac:dyDescent="0.3">
      <c r="A308" s="10"/>
      <c r="B308" s="10"/>
      <c r="C308" s="10"/>
      <c r="D308" s="10"/>
      <c r="E308" s="10"/>
      <c r="F308" s="10"/>
      <c r="G308" s="10"/>
      <c r="H308" s="10"/>
      <c r="I308" s="10"/>
      <c r="J308" s="10"/>
      <c r="K308" s="10"/>
    </row>
    <row r="309" spans="1:11" x14ac:dyDescent="0.3">
      <c r="A309" s="10"/>
      <c r="B309" s="10"/>
      <c r="C309" s="10"/>
      <c r="D309" s="10"/>
      <c r="E309" s="10"/>
      <c r="F309" s="10"/>
      <c r="G309" s="10"/>
      <c r="H309" s="10"/>
      <c r="I309" s="10"/>
      <c r="J309" s="10"/>
      <c r="K309" s="10"/>
    </row>
    <row r="310" spans="1:11" x14ac:dyDescent="0.3">
      <c r="A310" s="10"/>
      <c r="B310" s="10"/>
      <c r="C310" s="10"/>
      <c r="D310" s="10"/>
      <c r="E310" s="10"/>
      <c r="F310" s="10"/>
      <c r="G310" s="10"/>
      <c r="H310" s="10"/>
      <c r="I310" s="10"/>
      <c r="J310" s="10"/>
      <c r="K310" s="10"/>
    </row>
    <row r="311" spans="1:11" x14ac:dyDescent="0.3">
      <c r="A311" s="10"/>
      <c r="B311" s="10"/>
      <c r="C311" s="10"/>
      <c r="D311" s="10"/>
      <c r="E311" s="10"/>
      <c r="F311" s="10"/>
      <c r="G311" s="10"/>
      <c r="H311" s="10"/>
      <c r="I311" s="10"/>
      <c r="J311" s="10"/>
      <c r="K311" s="10"/>
    </row>
    <row r="312" spans="1:11" x14ac:dyDescent="0.3">
      <c r="A312" s="10"/>
      <c r="B312" s="10"/>
      <c r="C312" s="10"/>
      <c r="D312" s="10"/>
      <c r="E312" s="10"/>
      <c r="F312" s="10"/>
      <c r="G312" s="10"/>
      <c r="H312" s="10"/>
      <c r="I312" s="10"/>
      <c r="J312" s="10"/>
      <c r="K312" s="10"/>
    </row>
    <row r="313" spans="1:11" x14ac:dyDescent="0.3">
      <c r="A313" s="10"/>
      <c r="B313" s="10"/>
      <c r="C313" s="10"/>
      <c r="D313" s="10"/>
      <c r="E313" s="10"/>
      <c r="F313" s="10"/>
      <c r="G313" s="10"/>
      <c r="H313" s="10"/>
      <c r="I313" s="10"/>
      <c r="J313" s="10"/>
      <c r="K313" s="10"/>
    </row>
    <row r="314" spans="1:11" x14ac:dyDescent="0.3">
      <c r="A314" s="10"/>
      <c r="B314" s="10"/>
      <c r="C314" s="10"/>
      <c r="D314" s="10"/>
      <c r="E314" s="10"/>
      <c r="F314" s="10"/>
      <c r="G314" s="10"/>
      <c r="H314" s="10"/>
      <c r="I314" s="10"/>
      <c r="J314" s="10"/>
      <c r="K314" s="10"/>
    </row>
    <row r="315" spans="1:11" x14ac:dyDescent="0.3">
      <c r="A315" s="10"/>
      <c r="B315" s="10"/>
      <c r="C315" s="10"/>
      <c r="D315" s="10"/>
      <c r="E315" s="10"/>
      <c r="F315" s="10"/>
      <c r="G315" s="10"/>
      <c r="H315" s="10"/>
      <c r="I315" s="10"/>
      <c r="J315" s="10"/>
      <c r="K315" s="10"/>
    </row>
    <row r="316" spans="1:11" x14ac:dyDescent="0.3">
      <c r="A316" s="10"/>
      <c r="B316" s="10"/>
      <c r="C316" s="10"/>
      <c r="D316" s="10"/>
      <c r="E316" s="10"/>
      <c r="F316" s="10"/>
      <c r="G316" s="10"/>
      <c r="H316" s="10"/>
      <c r="I316" s="10"/>
      <c r="J316" s="10"/>
      <c r="K316" s="10"/>
    </row>
    <row r="317" spans="1:11" x14ac:dyDescent="0.3">
      <c r="A317" s="10"/>
      <c r="B317" s="10"/>
      <c r="C317" s="10"/>
      <c r="D317" s="10"/>
      <c r="E317" s="10"/>
      <c r="F317" s="10"/>
      <c r="G317" s="10"/>
      <c r="H317" s="10"/>
      <c r="I317" s="10"/>
      <c r="J317" s="10"/>
      <c r="K317" s="10"/>
    </row>
    <row r="318" spans="1:11" x14ac:dyDescent="0.3">
      <c r="A318" s="10"/>
      <c r="B318" s="10"/>
      <c r="C318" s="10"/>
      <c r="D318" s="10"/>
      <c r="E318" s="10"/>
      <c r="F318" s="10"/>
      <c r="G318" s="10"/>
      <c r="H318" s="10"/>
      <c r="I318" s="10"/>
      <c r="J318" s="10"/>
      <c r="K318" s="10"/>
    </row>
    <row r="319" spans="1:11" x14ac:dyDescent="0.3">
      <c r="A319" s="10"/>
      <c r="B319" s="10"/>
      <c r="C319" s="10"/>
      <c r="D319" s="10"/>
      <c r="E319" s="10"/>
      <c r="F319" s="10"/>
      <c r="G319" s="10"/>
      <c r="H319" s="10"/>
      <c r="I319" s="10"/>
      <c r="J319" s="10"/>
      <c r="K319" s="10"/>
    </row>
    <row r="320" spans="1:11" x14ac:dyDescent="0.3">
      <c r="A320" s="10"/>
      <c r="B320" s="10"/>
      <c r="C320" s="10"/>
      <c r="D320" s="10"/>
      <c r="E320" s="10"/>
      <c r="F320" s="10"/>
      <c r="G320" s="10"/>
      <c r="H320" s="10"/>
      <c r="I320" s="10"/>
      <c r="J320" s="10"/>
      <c r="K320" s="10"/>
    </row>
    <row r="321" spans="1:11" x14ac:dyDescent="0.3">
      <c r="A321" s="10"/>
      <c r="B321" s="10"/>
      <c r="C321" s="10"/>
      <c r="D321" s="10"/>
      <c r="E321" s="10"/>
      <c r="F321" s="10"/>
      <c r="G321" s="10"/>
      <c r="H321" s="10"/>
      <c r="I321" s="10"/>
      <c r="J321" s="10"/>
      <c r="K321" s="10"/>
    </row>
    <row r="322" spans="1:11" x14ac:dyDescent="0.3">
      <c r="A322" s="10"/>
      <c r="B322" s="10"/>
      <c r="C322" s="10"/>
      <c r="D322" s="10"/>
      <c r="E322" s="10"/>
      <c r="F322" s="10"/>
      <c r="G322" s="10"/>
      <c r="H322" s="10"/>
      <c r="I322" s="10"/>
      <c r="J322" s="10"/>
      <c r="K322" s="10"/>
    </row>
    <row r="323" spans="1:11" x14ac:dyDescent="0.3">
      <c r="A323" s="10"/>
      <c r="B323" s="10"/>
      <c r="C323" s="10"/>
      <c r="D323" s="10"/>
      <c r="E323" s="10"/>
      <c r="F323" s="10"/>
      <c r="G323" s="10"/>
      <c r="H323" s="10"/>
      <c r="I323" s="10"/>
      <c r="J323" s="10"/>
      <c r="K323" s="10"/>
    </row>
    <row r="324" spans="1:11" x14ac:dyDescent="0.3">
      <c r="A324" s="10"/>
      <c r="B324" s="10"/>
      <c r="C324" s="10"/>
      <c r="D324" s="10"/>
      <c r="E324" s="10"/>
      <c r="F324" s="10"/>
      <c r="G324" s="10"/>
      <c r="H324" s="10"/>
      <c r="I324" s="10"/>
      <c r="J324" s="10"/>
      <c r="K324" s="10"/>
    </row>
    <row r="325" spans="1:11" x14ac:dyDescent="0.3">
      <c r="A325" s="10"/>
      <c r="B325" s="10"/>
      <c r="C325" s="10"/>
      <c r="D325" s="10"/>
      <c r="E325" s="10"/>
      <c r="F325" s="10"/>
      <c r="G325" s="10"/>
      <c r="H325" s="10"/>
      <c r="I325" s="10"/>
      <c r="J325" s="10"/>
      <c r="K325" s="10"/>
    </row>
    <row r="326" spans="1:11" x14ac:dyDescent="0.3">
      <c r="A326" s="10"/>
      <c r="B326" s="10"/>
      <c r="C326" s="10"/>
      <c r="D326" s="10"/>
      <c r="E326" s="10"/>
      <c r="F326" s="10"/>
      <c r="G326" s="10"/>
      <c r="H326" s="10"/>
      <c r="I326" s="10"/>
      <c r="J326" s="10"/>
      <c r="K326" s="10"/>
    </row>
    <row r="327" spans="1:11" x14ac:dyDescent="0.3">
      <c r="A327" s="10"/>
      <c r="B327" s="10"/>
      <c r="C327" s="10"/>
      <c r="D327" s="10"/>
      <c r="E327" s="10"/>
      <c r="F327" s="10"/>
      <c r="G327" s="10"/>
      <c r="H327" s="10"/>
      <c r="I327" s="10"/>
      <c r="J327" s="10"/>
      <c r="K327" s="10"/>
    </row>
    <row r="328" spans="1:11" x14ac:dyDescent="0.3">
      <c r="A328" s="10"/>
      <c r="B328" s="10"/>
      <c r="C328" s="10"/>
      <c r="D328" s="10"/>
      <c r="E328" s="10"/>
      <c r="F328" s="10"/>
      <c r="G328" s="10"/>
      <c r="H328" s="10"/>
      <c r="I328" s="10"/>
      <c r="J328" s="10"/>
      <c r="K328" s="10"/>
    </row>
    <row r="329" spans="1:11" x14ac:dyDescent="0.3">
      <c r="A329" s="10"/>
      <c r="B329" s="10"/>
      <c r="C329" s="10"/>
      <c r="D329" s="10"/>
      <c r="E329" s="10"/>
      <c r="F329" s="10"/>
      <c r="G329" s="10"/>
      <c r="H329" s="10"/>
      <c r="I329" s="10"/>
      <c r="J329" s="10"/>
      <c r="K329" s="10"/>
    </row>
    <row r="330" spans="1:11" x14ac:dyDescent="0.3">
      <c r="A330" s="10"/>
      <c r="B330" s="10"/>
      <c r="C330" s="10"/>
      <c r="D330" s="10"/>
      <c r="E330" s="10"/>
      <c r="F330" s="10"/>
      <c r="G330" s="10"/>
      <c r="H330" s="10"/>
      <c r="I330" s="10"/>
      <c r="J330" s="10"/>
      <c r="K330" s="10"/>
    </row>
    <row r="331" spans="1:11" x14ac:dyDescent="0.3">
      <c r="A331" s="10"/>
      <c r="B331" s="10"/>
      <c r="C331" s="10"/>
      <c r="D331" s="10"/>
      <c r="E331" s="10"/>
      <c r="F331" s="10"/>
      <c r="G331" s="10"/>
      <c r="H331" s="10"/>
      <c r="I331" s="10"/>
      <c r="J331" s="10"/>
      <c r="K331" s="10"/>
    </row>
    <row r="332" spans="1:11" x14ac:dyDescent="0.3">
      <c r="A332" s="10"/>
      <c r="B332" s="10"/>
      <c r="C332" s="10"/>
      <c r="D332" s="10"/>
      <c r="E332" s="10"/>
      <c r="F332" s="10"/>
      <c r="G332" s="10"/>
      <c r="H332" s="10"/>
      <c r="I332" s="10"/>
      <c r="J332" s="10"/>
      <c r="K332" s="10"/>
    </row>
    <row r="333" spans="1:11" x14ac:dyDescent="0.3">
      <c r="A333" s="10"/>
      <c r="B333" s="10"/>
      <c r="C333" s="10"/>
      <c r="D333" s="10"/>
      <c r="E333" s="10"/>
      <c r="F333" s="10"/>
      <c r="G333" s="10"/>
      <c r="H333" s="10"/>
      <c r="I333" s="10"/>
      <c r="J333" s="10"/>
      <c r="K333" s="10"/>
    </row>
    <row r="334" spans="1:11" x14ac:dyDescent="0.3">
      <c r="A334" s="10"/>
      <c r="B334" s="10"/>
      <c r="C334" s="10"/>
      <c r="D334" s="10"/>
      <c r="E334" s="10"/>
      <c r="F334" s="10"/>
      <c r="G334" s="10"/>
      <c r="H334" s="10"/>
      <c r="I334" s="10"/>
      <c r="J334" s="10"/>
      <c r="K334" s="10"/>
    </row>
    <row r="335" spans="1:11" x14ac:dyDescent="0.3">
      <c r="A335" s="10"/>
      <c r="B335" s="10"/>
      <c r="C335" s="10"/>
      <c r="D335" s="10"/>
      <c r="E335" s="10"/>
      <c r="F335" s="10"/>
      <c r="G335" s="10"/>
      <c r="H335" s="10"/>
      <c r="I335" s="10"/>
      <c r="J335" s="10"/>
      <c r="K335" s="10"/>
    </row>
    <row r="336" spans="1:11" x14ac:dyDescent="0.3">
      <c r="A336" s="10"/>
      <c r="B336" s="10"/>
      <c r="C336" s="10"/>
      <c r="D336" s="10"/>
      <c r="E336" s="10"/>
      <c r="F336" s="10"/>
      <c r="G336" s="10"/>
      <c r="H336" s="10"/>
      <c r="I336" s="10"/>
      <c r="J336" s="10"/>
      <c r="K336" s="10"/>
    </row>
    <row r="337" spans="1:11" x14ac:dyDescent="0.3">
      <c r="A337" s="10"/>
      <c r="B337" s="10"/>
      <c r="C337" s="10"/>
      <c r="D337" s="10"/>
      <c r="E337" s="10"/>
      <c r="F337" s="10"/>
      <c r="G337" s="10"/>
      <c r="H337" s="10"/>
      <c r="I337" s="10"/>
      <c r="J337" s="10"/>
      <c r="K337" s="10"/>
    </row>
    <row r="338" spans="1:11" x14ac:dyDescent="0.3">
      <c r="A338" s="10"/>
      <c r="B338" s="10"/>
      <c r="C338" s="10"/>
      <c r="D338" s="10"/>
      <c r="E338" s="10"/>
      <c r="F338" s="10"/>
      <c r="G338" s="10"/>
      <c r="H338" s="10"/>
      <c r="I338" s="10"/>
      <c r="J338" s="10"/>
      <c r="K338" s="10"/>
    </row>
    <row r="339" spans="1:11" x14ac:dyDescent="0.3">
      <c r="A339" s="10"/>
      <c r="B339" s="10"/>
      <c r="C339" s="10"/>
      <c r="D339" s="10"/>
      <c r="E339" s="10"/>
      <c r="F339" s="10"/>
      <c r="G339" s="10"/>
      <c r="H339" s="10"/>
      <c r="I339" s="10"/>
      <c r="J339" s="10"/>
      <c r="K339" s="10"/>
    </row>
    <row r="340" spans="1:11" x14ac:dyDescent="0.3">
      <c r="A340" s="10"/>
      <c r="B340" s="10"/>
      <c r="C340" s="10"/>
      <c r="D340" s="10"/>
      <c r="E340" s="10"/>
      <c r="F340" s="10"/>
      <c r="G340" s="10"/>
      <c r="H340" s="10"/>
      <c r="I340" s="10"/>
      <c r="J340" s="10"/>
      <c r="K340" s="10"/>
    </row>
    <row r="341" spans="1:11" x14ac:dyDescent="0.3">
      <c r="A341" s="10"/>
      <c r="B341" s="10"/>
      <c r="C341" s="10"/>
      <c r="D341" s="10"/>
      <c r="E341" s="10"/>
      <c r="F341" s="10"/>
      <c r="G341" s="10"/>
      <c r="H341" s="10"/>
      <c r="I341" s="10"/>
      <c r="J341" s="10"/>
      <c r="K341" s="10"/>
    </row>
    <row r="342" spans="1:11" x14ac:dyDescent="0.3">
      <c r="A342" s="10"/>
      <c r="B342" s="10"/>
      <c r="C342" s="10"/>
      <c r="D342" s="10"/>
      <c r="E342" s="10"/>
      <c r="F342" s="10"/>
      <c r="G342" s="10"/>
      <c r="H342" s="10"/>
      <c r="I342" s="10"/>
      <c r="J342" s="10"/>
      <c r="K342" s="10"/>
    </row>
    <row r="343" spans="1:11" x14ac:dyDescent="0.3">
      <c r="A343" s="10"/>
      <c r="B343" s="10"/>
      <c r="C343" s="10"/>
      <c r="D343" s="10"/>
      <c r="E343" s="10"/>
      <c r="F343" s="10"/>
      <c r="G343" s="10"/>
      <c r="H343" s="10"/>
      <c r="I343" s="10"/>
      <c r="J343" s="10"/>
      <c r="K343" s="10"/>
    </row>
    <row r="344" spans="1:11" x14ac:dyDescent="0.3">
      <c r="A344" s="10"/>
      <c r="B344" s="10"/>
      <c r="C344" s="10"/>
      <c r="D344" s="10"/>
      <c r="E344" s="10"/>
      <c r="F344" s="10"/>
      <c r="G344" s="10"/>
      <c r="H344" s="10"/>
      <c r="I344" s="10"/>
      <c r="J344" s="10"/>
      <c r="K344" s="10"/>
    </row>
    <row r="345" spans="1:11" x14ac:dyDescent="0.3">
      <c r="A345" s="10"/>
      <c r="B345" s="10"/>
      <c r="C345" s="10"/>
      <c r="D345" s="10"/>
      <c r="E345" s="10"/>
      <c r="F345" s="10"/>
      <c r="G345" s="10"/>
      <c r="H345" s="10"/>
      <c r="I345" s="10"/>
      <c r="J345" s="10"/>
      <c r="K345" s="10"/>
    </row>
    <row r="346" spans="1:11" x14ac:dyDescent="0.3">
      <c r="A346" s="10"/>
      <c r="B346" s="10"/>
      <c r="C346" s="10"/>
      <c r="D346" s="10"/>
      <c r="E346" s="10"/>
      <c r="F346" s="10"/>
      <c r="G346" s="10"/>
      <c r="H346" s="10"/>
      <c r="I346" s="10"/>
      <c r="J346" s="10"/>
      <c r="K346" s="10"/>
    </row>
    <row r="347" spans="1:11" x14ac:dyDescent="0.3">
      <c r="A347" s="10"/>
      <c r="B347" s="10"/>
      <c r="C347" s="10"/>
      <c r="D347" s="10"/>
      <c r="E347" s="10"/>
      <c r="F347" s="10"/>
      <c r="G347" s="10"/>
      <c r="H347" s="10"/>
      <c r="I347" s="10"/>
      <c r="J347" s="10"/>
      <c r="K347" s="10"/>
    </row>
    <row r="348" spans="1:11" x14ac:dyDescent="0.3">
      <c r="A348" s="10"/>
      <c r="B348" s="10"/>
      <c r="C348" s="10"/>
      <c r="D348" s="10"/>
      <c r="E348" s="10"/>
      <c r="F348" s="10"/>
      <c r="G348" s="10"/>
      <c r="H348" s="10"/>
      <c r="I348" s="10"/>
      <c r="J348" s="10"/>
      <c r="K348" s="10"/>
    </row>
    <row r="349" spans="1:11" x14ac:dyDescent="0.3">
      <c r="A349" s="10"/>
      <c r="B349" s="10"/>
      <c r="C349" s="10"/>
      <c r="D349" s="10"/>
      <c r="E349" s="10"/>
      <c r="F349" s="10"/>
      <c r="G349" s="10"/>
      <c r="H349" s="10"/>
      <c r="I349" s="10"/>
      <c r="J349" s="10"/>
      <c r="K349" s="10"/>
    </row>
    <row r="350" spans="1:11" x14ac:dyDescent="0.3">
      <c r="A350" s="10"/>
      <c r="B350" s="10"/>
      <c r="C350" s="10"/>
      <c r="D350" s="10"/>
      <c r="E350" s="10"/>
      <c r="F350" s="10"/>
      <c r="G350" s="10"/>
      <c r="H350" s="10"/>
      <c r="I350" s="10"/>
      <c r="J350" s="10"/>
      <c r="K350" s="10"/>
    </row>
    <row r="351" spans="1:11" x14ac:dyDescent="0.3">
      <c r="A351" s="10"/>
      <c r="B351" s="10"/>
      <c r="C351" s="10"/>
      <c r="D351" s="10"/>
      <c r="E351" s="10"/>
      <c r="F351" s="10"/>
      <c r="G351" s="10"/>
      <c r="H351" s="10"/>
      <c r="I351" s="10"/>
      <c r="J351" s="10"/>
      <c r="K351" s="10"/>
    </row>
    <row r="352" spans="1:11" x14ac:dyDescent="0.3">
      <c r="A352" s="10"/>
      <c r="B352" s="10"/>
      <c r="C352" s="10"/>
      <c r="D352" s="10"/>
      <c r="E352" s="10"/>
      <c r="F352" s="10"/>
      <c r="G352" s="10"/>
      <c r="H352" s="10"/>
      <c r="I352" s="10"/>
      <c r="J352" s="10"/>
      <c r="K352" s="10"/>
    </row>
    <row r="353" spans="1:11" x14ac:dyDescent="0.3">
      <c r="A353" s="10"/>
      <c r="B353" s="10"/>
      <c r="C353" s="10"/>
      <c r="D353" s="10"/>
      <c r="E353" s="10"/>
      <c r="F353" s="10"/>
      <c r="G353" s="10"/>
      <c r="H353" s="10"/>
      <c r="I353" s="10"/>
      <c r="J353" s="10"/>
      <c r="K353" s="10"/>
    </row>
    <row r="354" spans="1:11" x14ac:dyDescent="0.3">
      <c r="A354" s="10"/>
      <c r="B354" s="10"/>
      <c r="C354" s="10"/>
      <c r="D354" s="10"/>
      <c r="E354" s="10"/>
      <c r="F354" s="10"/>
      <c r="G354" s="10"/>
      <c r="H354" s="10"/>
      <c r="I354" s="10"/>
      <c r="J354" s="10"/>
      <c r="K354" s="10"/>
    </row>
    <row r="355" spans="1:11" x14ac:dyDescent="0.3">
      <c r="A355" s="10"/>
      <c r="B355" s="10"/>
      <c r="C355" s="10"/>
      <c r="D355" s="10"/>
      <c r="E355" s="10"/>
      <c r="F355" s="10"/>
      <c r="G355" s="10"/>
      <c r="H355" s="10"/>
      <c r="I355" s="10"/>
      <c r="J355" s="10"/>
      <c r="K355" s="10"/>
    </row>
    <row r="356" spans="1:11" x14ac:dyDescent="0.3">
      <c r="A356" s="10"/>
      <c r="B356" s="10"/>
      <c r="C356" s="10"/>
      <c r="D356" s="10"/>
      <c r="E356" s="10"/>
      <c r="F356" s="10"/>
      <c r="G356" s="10"/>
      <c r="H356" s="10"/>
      <c r="I356" s="10"/>
      <c r="J356" s="10"/>
      <c r="K356" s="10"/>
    </row>
    <row r="357" spans="1:11" x14ac:dyDescent="0.3">
      <c r="A357" s="10"/>
      <c r="B357" s="10"/>
      <c r="C357" s="10"/>
      <c r="D357" s="10"/>
      <c r="E357" s="10"/>
      <c r="F357" s="10"/>
      <c r="G357" s="10"/>
      <c r="H357" s="10"/>
      <c r="I357" s="10"/>
      <c r="J357" s="10"/>
      <c r="K357" s="10"/>
    </row>
    <row r="358" spans="1:11" x14ac:dyDescent="0.3">
      <c r="A358" s="10"/>
      <c r="B358" s="10"/>
      <c r="C358" s="10"/>
      <c r="D358" s="10"/>
      <c r="E358" s="10"/>
      <c r="F358" s="10"/>
      <c r="G358" s="10"/>
      <c r="H358" s="10"/>
      <c r="I358" s="10"/>
      <c r="J358" s="10"/>
      <c r="K358" s="10"/>
    </row>
    <row r="359" spans="1:11" x14ac:dyDescent="0.3">
      <c r="A359" s="10"/>
      <c r="B359" s="10"/>
      <c r="C359" s="10"/>
      <c r="D359" s="10"/>
      <c r="E359" s="10"/>
      <c r="F359" s="10"/>
      <c r="G359" s="10"/>
      <c r="H359" s="10"/>
      <c r="I359" s="10"/>
      <c r="J359" s="10"/>
      <c r="K359" s="10"/>
    </row>
    <row r="360" spans="1:11" x14ac:dyDescent="0.3">
      <c r="A360" s="10"/>
      <c r="B360" s="10"/>
      <c r="C360" s="10"/>
      <c r="D360" s="10"/>
      <c r="E360" s="10"/>
      <c r="F360" s="10"/>
      <c r="G360" s="10"/>
      <c r="H360" s="10"/>
      <c r="I360" s="10"/>
      <c r="J360" s="10"/>
      <c r="K360" s="10"/>
    </row>
    <row r="361" spans="1:11" x14ac:dyDescent="0.3">
      <c r="A361" s="10"/>
      <c r="B361" s="10"/>
      <c r="C361" s="10"/>
      <c r="D361" s="10"/>
      <c r="E361" s="10"/>
      <c r="F361" s="10"/>
      <c r="G361" s="10"/>
      <c r="H361" s="10"/>
      <c r="I361" s="10"/>
      <c r="J361" s="10"/>
      <c r="K361" s="10"/>
    </row>
    <row r="362" spans="1:11" x14ac:dyDescent="0.3">
      <c r="A362" s="10"/>
      <c r="B362" s="10"/>
      <c r="C362" s="10"/>
      <c r="D362" s="10"/>
      <c r="E362" s="10"/>
      <c r="F362" s="10"/>
      <c r="G362" s="10"/>
      <c r="H362" s="10"/>
      <c r="I362" s="10"/>
      <c r="J362" s="10"/>
      <c r="K362" s="10"/>
    </row>
    <row r="363" spans="1:11" x14ac:dyDescent="0.3">
      <c r="A363" s="10"/>
      <c r="B363" s="10"/>
      <c r="C363" s="10"/>
      <c r="D363" s="10"/>
      <c r="E363" s="10"/>
      <c r="F363" s="10"/>
      <c r="G363" s="10"/>
      <c r="H363" s="10"/>
      <c r="I363" s="10"/>
      <c r="J363" s="10"/>
      <c r="K363" s="10"/>
    </row>
    <row r="364" spans="1:11" x14ac:dyDescent="0.3">
      <c r="A364" s="10"/>
      <c r="B364" s="10"/>
      <c r="C364" s="10"/>
      <c r="D364" s="10"/>
      <c r="E364" s="10"/>
      <c r="F364" s="10"/>
      <c r="G364" s="10"/>
      <c r="H364" s="10"/>
      <c r="I364" s="10"/>
      <c r="J364" s="10"/>
      <c r="K364" s="10"/>
    </row>
    <row r="365" spans="1:11" x14ac:dyDescent="0.3">
      <c r="A365" s="10"/>
      <c r="B365" s="10"/>
      <c r="C365" s="10"/>
      <c r="D365" s="10"/>
      <c r="E365" s="10"/>
      <c r="F365" s="10"/>
      <c r="G365" s="10"/>
      <c r="H365" s="10"/>
      <c r="I365" s="10"/>
      <c r="J365" s="10"/>
      <c r="K365" s="10"/>
    </row>
    <row r="366" spans="1:11" x14ac:dyDescent="0.3">
      <c r="A366" s="10"/>
      <c r="B366" s="10"/>
      <c r="C366" s="10"/>
      <c r="D366" s="10"/>
      <c r="E366" s="10"/>
      <c r="F366" s="10"/>
      <c r="G366" s="10"/>
      <c r="H366" s="10"/>
      <c r="I366" s="10"/>
      <c r="J366" s="10"/>
      <c r="K366" s="10"/>
    </row>
    <row r="367" spans="1:11" x14ac:dyDescent="0.3">
      <c r="A367" s="10"/>
      <c r="B367" s="10"/>
      <c r="C367" s="10"/>
      <c r="D367" s="10"/>
      <c r="E367" s="10"/>
      <c r="F367" s="10"/>
      <c r="G367" s="10"/>
      <c r="H367" s="10"/>
      <c r="I367" s="10"/>
      <c r="J367" s="10"/>
      <c r="K367" s="10"/>
    </row>
    <row r="368" spans="1:11" x14ac:dyDescent="0.3">
      <c r="A368" s="10"/>
      <c r="B368" s="10"/>
      <c r="C368" s="10"/>
      <c r="D368" s="10"/>
      <c r="E368" s="10"/>
      <c r="F368" s="10"/>
      <c r="G368" s="10"/>
      <c r="H368" s="10"/>
      <c r="I368" s="10"/>
      <c r="J368" s="10"/>
      <c r="K368" s="10"/>
    </row>
    <row r="369" spans="1:11" x14ac:dyDescent="0.3">
      <c r="A369" s="10"/>
      <c r="B369" s="10"/>
      <c r="C369" s="10"/>
      <c r="D369" s="10"/>
      <c r="E369" s="10"/>
      <c r="F369" s="10"/>
      <c r="G369" s="10"/>
      <c r="H369" s="10"/>
      <c r="I369" s="10"/>
      <c r="J369" s="10"/>
      <c r="K369" s="10"/>
    </row>
    <row r="370" spans="1:11" x14ac:dyDescent="0.3">
      <c r="A370" s="10"/>
      <c r="B370" s="10"/>
      <c r="C370" s="10"/>
      <c r="D370" s="10"/>
      <c r="E370" s="10"/>
      <c r="F370" s="10"/>
      <c r="G370" s="10"/>
      <c r="H370" s="10"/>
      <c r="I370" s="10"/>
      <c r="J370" s="10"/>
      <c r="K370" s="10"/>
    </row>
    <row r="371" spans="1:11" x14ac:dyDescent="0.3">
      <c r="A371" s="10"/>
      <c r="B371" s="10"/>
      <c r="C371" s="10"/>
      <c r="D371" s="10"/>
      <c r="E371" s="10"/>
      <c r="F371" s="10"/>
      <c r="G371" s="10"/>
      <c r="H371" s="10"/>
      <c r="I371" s="10"/>
      <c r="J371" s="10"/>
      <c r="K371" s="10"/>
    </row>
    <row r="372" spans="1:11" x14ac:dyDescent="0.3">
      <c r="A372" s="10"/>
      <c r="B372" s="10"/>
      <c r="C372" s="10"/>
      <c r="D372" s="10"/>
      <c r="E372" s="10"/>
      <c r="F372" s="10"/>
      <c r="G372" s="10"/>
      <c r="H372" s="10"/>
      <c r="I372" s="10"/>
      <c r="J372" s="10"/>
      <c r="K372" s="10"/>
    </row>
    <row r="373" spans="1:11" x14ac:dyDescent="0.3">
      <c r="A373" s="10"/>
      <c r="B373" s="10"/>
      <c r="C373" s="10"/>
      <c r="D373" s="10"/>
      <c r="E373" s="10"/>
      <c r="F373" s="10"/>
      <c r="G373" s="10"/>
      <c r="H373" s="10"/>
      <c r="I373" s="10"/>
      <c r="J373" s="10"/>
      <c r="K373" s="10"/>
    </row>
    <row r="374" spans="1:11" x14ac:dyDescent="0.3">
      <c r="A374" s="10"/>
      <c r="B374" s="10"/>
      <c r="C374" s="10"/>
      <c r="D374" s="10"/>
      <c r="E374" s="10"/>
      <c r="F374" s="10"/>
      <c r="G374" s="10"/>
      <c r="H374" s="10"/>
      <c r="I374" s="10"/>
      <c r="J374" s="10"/>
      <c r="K374" s="10"/>
    </row>
    <row r="375" spans="1:11" x14ac:dyDescent="0.3">
      <c r="A375" s="10"/>
      <c r="B375" s="10"/>
      <c r="C375" s="10"/>
      <c r="D375" s="10"/>
      <c r="E375" s="10"/>
      <c r="F375" s="10"/>
      <c r="G375" s="10"/>
      <c r="H375" s="10"/>
      <c r="I375" s="10"/>
      <c r="J375" s="10"/>
      <c r="K375" s="10"/>
    </row>
    <row r="376" spans="1:11" x14ac:dyDescent="0.3">
      <c r="A376" s="10"/>
      <c r="B376" s="10"/>
      <c r="C376" s="10"/>
      <c r="D376" s="10"/>
      <c r="E376" s="10"/>
      <c r="F376" s="10"/>
      <c r="G376" s="10"/>
      <c r="H376" s="10"/>
      <c r="I376" s="10"/>
      <c r="J376" s="10"/>
      <c r="K376" s="10"/>
    </row>
    <row r="377" spans="1:11" x14ac:dyDescent="0.3">
      <c r="A377" s="10"/>
      <c r="B377" s="10"/>
      <c r="C377" s="10"/>
      <c r="D377" s="10"/>
      <c r="E377" s="10"/>
      <c r="F377" s="10"/>
      <c r="G377" s="10"/>
      <c r="H377" s="10"/>
      <c r="I377" s="10"/>
      <c r="J377" s="10"/>
      <c r="K377" s="10"/>
    </row>
    <row r="378" spans="1:11" x14ac:dyDescent="0.3">
      <c r="A378" s="10"/>
      <c r="B378" s="10"/>
      <c r="C378" s="10"/>
      <c r="D378" s="10"/>
      <c r="E378" s="10"/>
      <c r="F378" s="10"/>
      <c r="G378" s="10"/>
      <c r="H378" s="10"/>
      <c r="I378" s="10"/>
      <c r="J378" s="10"/>
      <c r="K378" s="10"/>
    </row>
    <row r="379" spans="1:11" x14ac:dyDescent="0.3">
      <c r="A379" s="10"/>
      <c r="B379" s="10"/>
      <c r="C379" s="10"/>
      <c r="D379" s="10"/>
      <c r="E379" s="10"/>
      <c r="F379" s="10"/>
      <c r="G379" s="10"/>
      <c r="H379" s="10"/>
      <c r="I379" s="10"/>
      <c r="J379" s="10"/>
      <c r="K379" s="10"/>
    </row>
    <row r="380" spans="1:11" x14ac:dyDescent="0.3">
      <c r="A380" s="10"/>
      <c r="B380" s="10"/>
      <c r="C380" s="10"/>
      <c r="D380" s="10"/>
      <c r="E380" s="10"/>
      <c r="F380" s="10"/>
      <c r="G380" s="10"/>
      <c r="H380" s="10"/>
      <c r="I380" s="10"/>
      <c r="J380" s="10"/>
      <c r="K380" s="10"/>
    </row>
    <row r="381" spans="1:11" x14ac:dyDescent="0.3">
      <c r="A381" s="10"/>
      <c r="B381" s="10"/>
      <c r="C381" s="10"/>
      <c r="D381" s="10"/>
      <c r="E381" s="10"/>
      <c r="F381" s="10"/>
      <c r="G381" s="10"/>
      <c r="H381" s="10"/>
      <c r="I381" s="10"/>
      <c r="J381" s="10"/>
      <c r="K381" s="10"/>
    </row>
    <row r="382" spans="1:11" x14ac:dyDescent="0.3">
      <c r="A382" s="10"/>
      <c r="B382" s="10"/>
      <c r="C382" s="10"/>
      <c r="D382" s="10"/>
      <c r="E382" s="10"/>
      <c r="F382" s="10"/>
      <c r="G382" s="10"/>
      <c r="H382" s="10"/>
      <c r="I382" s="10"/>
      <c r="J382" s="10"/>
      <c r="K382" s="10"/>
    </row>
    <row r="383" spans="1:11" x14ac:dyDescent="0.3">
      <c r="A383" s="10"/>
      <c r="B383" s="10"/>
      <c r="C383" s="10"/>
      <c r="D383" s="10"/>
      <c r="E383" s="10"/>
      <c r="F383" s="10"/>
      <c r="G383" s="10"/>
      <c r="H383" s="10"/>
      <c r="I383" s="10"/>
      <c r="J383" s="10"/>
      <c r="K383" s="10"/>
    </row>
    <row r="384" spans="1:11" x14ac:dyDescent="0.3">
      <c r="A384" s="10"/>
      <c r="B384" s="10"/>
      <c r="C384" s="10"/>
      <c r="D384" s="10"/>
      <c r="E384" s="10"/>
      <c r="F384" s="10"/>
      <c r="G384" s="10"/>
      <c r="H384" s="10"/>
      <c r="I384" s="10"/>
      <c r="J384" s="10"/>
      <c r="K384" s="10"/>
    </row>
    <row r="385" spans="1:11" x14ac:dyDescent="0.3">
      <c r="A385" s="10"/>
      <c r="B385" s="10"/>
      <c r="C385" s="10"/>
      <c r="D385" s="10"/>
      <c r="E385" s="10"/>
      <c r="F385" s="10"/>
      <c r="G385" s="10"/>
      <c r="H385" s="10"/>
      <c r="I385" s="10"/>
      <c r="J385" s="10"/>
      <c r="K385" s="10"/>
    </row>
    <row r="386" spans="1:11" x14ac:dyDescent="0.3">
      <c r="A386" s="10"/>
      <c r="B386" s="10"/>
      <c r="C386" s="10"/>
      <c r="D386" s="10"/>
      <c r="E386" s="10"/>
      <c r="F386" s="10"/>
      <c r="G386" s="10"/>
      <c r="H386" s="10"/>
      <c r="I386" s="10"/>
      <c r="J386" s="10"/>
      <c r="K386" s="10"/>
    </row>
    <row r="387" spans="1:11" x14ac:dyDescent="0.3">
      <c r="A387" s="10"/>
      <c r="B387" s="10"/>
      <c r="C387" s="10"/>
      <c r="D387" s="10"/>
      <c r="E387" s="10"/>
      <c r="F387" s="10"/>
      <c r="G387" s="10"/>
      <c r="H387" s="10"/>
      <c r="I387" s="10"/>
      <c r="J387" s="10"/>
      <c r="K387" s="10"/>
    </row>
    <row r="388" spans="1:11" x14ac:dyDescent="0.3">
      <c r="A388" s="10"/>
      <c r="B388" s="10"/>
      <c r="C388" s="10"/>
      <c r="D388" s="10"/>
      <c r="E388" s="10"/>
      <c r="F388" s="10"/>
      <c r="G388" s="10"/>
      <c r="H388" s="10"/>
      <c r="I388" s="10"/>
      <c r="J388" s="10"/>
      <c r="K388" s="10"/>
    </row>
    <row r="389" spans="1:11" x14ac:dyDescent="0.3">
      <c r="A389" s="10"/>
      <c r="B389" s="10"/>
      <c r="C389" s="10"/>
      <c r="D389" s="10"/>
      <c r="E389" s="10"/>
      <c r="F389" s="10"/>
      <c r="G389" s="10"/>
      <c r="H389" s="10"/>
      <c r="I389" s="10"/>
      <c r="J389" s="10"/>
      <c r="K389" s="10"/>
    </row>
    <row r="390" spans="1:11" x14ac:dyDescent="0.3">
      <c r="A390" s="10"/>
      <c r="B390" s="10"/>
      <c r="C390" s="10"/>
      <c r="D390" s="10"/>
      <c r="E390" s="10"/>
      <c r="F390" s="10"/>
      <c r="G390" s="10"/>
      <c r="H390" s="10"/>
      <c r="I390" s="10"/>
      <c r="J390" s="10"/>
      <c r="K390" s="10"/>
    </row>
    <row r="391" spans="1:11" x14ac:dyDescent="0.3">
      <c r="A391" s="10"/>
      <c r="B391" s="10"/>
      <c r="C391" s="10"/>
      <c r="D391" s="10"/>
      <c r="E391" s="10"/>
      <c r="F391" s="10"/>
      <c r="G391" s="10"/>
      <c r="H391" s="10"/>
      <c r="I391" s="10"/>
      <c r="J391" s="10"/>
      <c r="K391" s="10"/>
    </row>
    <row r="392" spans="1:11" x14ac:dyDescent="0.3">
      <c r="A392" s="10"/>
      <c r="B392" s="10"/>
      <c r="C392" s="10"/>
      <c r="D392" s="10"/>
      <c r="E392" s="10"/>
      <c r="F392" s="10"/>
      <c r="G392" s="10"/>
      <c r="H392" s="10"/>
      <c r="I392" s="10"/>
      <c r="J392" s="10"/>
      <c r="K392" s="10"/>
    </row>
    <row r="393" spans="1:11" x14ac:dyDescent="0.3">
      <c r="A393" s="10"/>
      <c r="B393" s="10"/>
      <c r="C393" s="10"/>
      <c r="D393" s="10"/>
      <c r="E393" s="10"/>
      <c r="F393" s="10"/>
      <c r="G393" s="10"/>
      <c r="H393" s="10"/>
      <c r="I393" s="10"/>
      <c r="J393" s="10"/>
      <c r="K393" s="10"/>
    </row>
    <row r="394" spans="1:11" x14ac:dyDescent="0.3">
      <c r="A394" s="10"/>
      <c r="B394" s="10"/>
      <c r="C394" s="10"/>
      <c r="D394" s="10"/>
      <c r="E394" s="10"/>
      <c r="F394" s="10"/>
      <c r="G394" s="10"/>
      <c r="H394" s="10"/>
      <c r="I394" s="10"/>
      <c r="J394" s="10"/>
      <c r="K394" s="10"/>
    </row>
    <row r="395" spans="1:11" x14ac:dyDescent="0.3">
      <c r="A395" s="10"/>
      <c r="B395" s="10"/>
      <c r="C395" s="10"/>
      <c r="D395" s="10"/>
      <c r="E395" s="10"/>
      <c r="F395" s="10"/>
      <c r="G395" s="10"/>
      <c r="H395" s="10"/>
      <c r="I395" s="10"/>
      <c r="J395" s="10"/>
      <c r="K395" s="10"/>
    </row>
    <row r="396" spans="1:11" x14ac:dyDescent="0.3">
      <c r="A396" s="10"/>
      <c r="B396" s="10"/>
      <c r="C396" s="10"/>
      <c r="D396" s="10"/>
      <c r="E396" s="10"/>
      <c r="F396" s="10"/>
      <c r="G396" s="10"/>
      <c r="H396" s="10"/>
      <c r="I396" s="10"/>
      <c r="J396" s="10"/>
      <c r="K396" s="10"/>
    </row>
    <row r="397" spans="1:11" x14ac:dyDescent="0.3">
      <c r="A397" s="10"/>
      <c r="B397" s="10"/>
      <c r="C397" s="10"/>
      <c r="D397" s="10"/>
      <c r="E397" s="10"/>
      <c r="F397" s="10"/>
      <c r="G397" s="10"/>
      <c r="H397" s="10"/>
      <c r="I397" s="10"/>
      <c r="J397" s="10"/>
      <c r="K397" s="10"/>
    </row>
    <row r="398" spans="1:11" x14ac:dyDescent="0.3">
      <c r="A398" s="10"/>
      <c r="B398" s="10"/>
      <c r="C398" s="10"/>
      <c r="D398" s="10"/>
      <c r="E398" s="10"/>
      <c r="F398" s="10"/>
      <c r="G398" s="10"/>
      <c r="H398" s="10"/>
      <c r="I398" s="10"/>
      <c r="J398" s="10"/>
      <c r="K398" s="10"/>
    </row>
    <row r="399" spans="1:11" x14ac:dyDescent="0.3">
      <c r="A399" s="10"/>
      <c r="B399" s="10"/>
      <c r="C399" s="10"/>
      <c r="D399" s="10"/>
      <c r="E399" s="10"/>
      <c r="F399" s="10"/>
      <c r="G399" s="10"/>
      <c r="H399" s="10"/>
      <c r="I399" s="10"/>
      <c r="J399" s="10"/>
      <c r="K399" s="10"/>
    </row>
    <row r="400" spans="1:11" x14ac:dyDescent="0.3">
      <c r="A400" s="10"/>
      <c r="B400" s="10"/>
      <c r="C400" s="10"/>
      <c r="D400" s="10"/>
      <c r="E400" s="10"/>
      <c r="F400" s="10"/>
      <c r="G400" s="10"/>
      <c r="H400" s="10"/>
      <c r="I400" s="10"/>
      <c r="J400" s="10"/>
      <c r="K400" s="10"/>
    </row>
    <row r="401" spans="1:11" x14ac:dyDescent="0.3">
      <c r="A401" s="10"/>
      <c r="B401" s="10"/>
      <c r="C401" s="10"/>
      <c r="D401" s="10"/>
      <c r="E401" s="10"/>
      <c r="F401" s="10"/>
      <c r="G401" s="10"/>
      <c r="H401" s="10"/>
      <c r="I401" s="10"/>
      <c r="J401" s="10"/>
      <c r="K401" s="10"/>
    </row>
    <row r="402" spans="1:11" x14ac:dyDescent="0.3">
      <c r="A402" s="10"/>
      <c r="B402" s="10"/>
      <c r="C402" s="10"/>
      <c r="D402" s="10"/>
      <c r="E402" s="10"/>
      <c r="F402" s="10"/>
      <c r="G402" s="10"/>
      <c r="H402" s="10"/>
      <c r="I402" s="10"/>
      <c r="J402" s="10"/>
      <c r="K402" s="10"/>
    </row>
    <row r="403" spans="1:11" x14ac:dyDescent="0.3">
      <c r="A403" s="10"/>
      <c r="B403" s="10"/>
      <c r="C403" s="10"/>
      <c r="D403" s="10"/>
      <c r="E403" s="10"/>
      <c r="F403" s="10"/>
      <c r="G403" s="10"/>
      <c r="H403" s="10"/>
      <c r="I403" s="10"/>
      <c r="J403" s="10"/>
      <c r="K403" s="10"/>
    </row>
    <row r="404" spans="1:11" x14ac:dyDescent="0.3">
      <c r="A404" s="10"/>
      <c r="B404" s="10"/>
      <c r="C404" s="10"/>
      <c r="D404" s="10"/>
      <c r="E404" s="10"/>
      <c r="F404" s="10"/>
      <c r="G404" s="10"/>
      <c r="H404" s="10"/>
      <c r="I404" s="10"/>
      <c r="J404" s="10"/>
      <c r="K404" s="10"/>
    </row>
    <row r="405" spans="1:11" x14ac:dyDescent="0.3">
      <c r="A405" s="10"/>
      <c r="B405" s="10"/>
      <c r="C405" s="10"/>
      <c r="D405" s="10"/>
      <c r="E405" s="10"/>
      <c r="F405" s="10"/>
      <c r="G405" s="10"/>
      <c r="H405" s="10"/>
      <c r="I405" s="10"/>
      <c r="J405" s="10"/>
      <c r="K405" s="10"/>
    </row>
    <row r="406" spans="1:11" x14ac:dyDescent="0.3">
      <c r="A406" s="10"/>
      <c r="B406" s="10"/>
      <c r="C406" s="10"/>
      <c r="D406" s="10"/>
      <c r="E406" s="10"/>
      <c r="F406" s="10"/>
      <c r="G406" s="10"/>
      <c r="H406" s="10"/>
      <c r="I406" s="10"/>
      <c r="J406" s="10"/>
      <c r="K406" s="10"/>
    </row>
    <row r="407" spans="1:11" x14ac:dyDescent="0.3">
      <c r="A407" s="10"/>
      <c r="B407" s="10"/>
      <c r="C407" s="10"/>
      <c r="D407" s="10"/>
      <c r="E407" s="10"/>
      <c r="F407" s="10"/>
      <c r="G407" s="10"/>
      <c r="H407" s="10"/>
      <c r="I407" s="10"/>
      <c r="J407" s="10"/>
      <c r="K407" s="10"/>
    </row>
    <row r="408" spans="1:11" x14ac:dyDescent="0.3">
      <c r="A408" s="10"/>
      <c r="B408" s="10"/>
      <c r="C408" s="10"/>
      <c r="D408" s="10"/>
      <c r="E408" s="10"/>
      <c r="F408" s="10"/>
      <c r="G408" s="10"/>
      <c r="H408" s="10"/>
      <c r="I408" s="10"/>
      <c r="J408" s="10"/>
      <c r="K408" s="10"/>
    </row>
    <row r="409" spans="1:11" x14ac:dyDescent="0.3">
      <c r="A409" s="10"/>
      <c r="B409" s="10"/>
      <c r="C409" s="10"/>
      <c r="D409" s="10"/>
      <c r="E409" s="10"/>
      <c r="F409" s="10"/>
      <c r="G409" s="10"/>
      <c r="H409" s="10"/>
      <c r="I409" s="10"/>
      <c r="J409" s="10"/>
      <c r="K409" s="10"/>
    </row>
    <row r="410" spans="1:11" x14ac:dyDescent="0.3">
      <c r="A410" s="10"/>
      <c r="B410" s="10"/>
      <c r="C410" s="10"/>
      <c r="D410" s="10"/>
      <c r="E410" s="10"/>
      <c r="F410" s="10"/>
      <c r="G410" s="10"/>
      <c r="H410" s="10"/>
      <c r="I410" s="10"/>
      <c r="J410" s="10"/>
      <c r="K410" s="10"/>
    </row>
    <row r="411" spans="1:11" x14ac:dyDescent="0.3">
      <c r="A411" s="10"/>
      <c r="B411" s="10"/>
      <c r="C411" s="10"/>
      <c r="D411" s="10"/>
      <c r="E411" s="10"/>
      <c r="F411" s="10"/>
      <c r="G411" s="10"/>
      <c r="H411" s="10"/>
      <c r="I411" s="10"/>
      <c r="J411" s="10"/>
      <c r="K411" s="10"/>
    </row>
    <row r="412" spans="1:11" x14ac:dyDescent="0.3">
      <c r="A412" s="10"/>
      <c r="B412" s="10"/>
      <c r="C412" s="10"/>
      <c r="D412" s="10"/>
      <c r="E412" s="10"/>
      <c r="F412" s="10"/>
      <c r="G412" s="10"/>
      <c r="H412" s="10"/>
      <c r="I412" s="10"/>
      <c r="J412" s="10"/>
      <c r="K412" s="10"/>
    </row>
    <row r="413" spans="1:11" x14ac:dyDescent="0.3">
      <c r="A413" s="10"/>
      <c r="B413" s="10"/>
      <c r="C413" s="10"/>
      <c r="D413" s="10"/>
      <c r="E413" s="10"/>
      <c r="F413" s="10"/>
      <c r="G413" s="10"/>
      <c r="H413" s="10"/>
      <c r="I413" s="10"/>
      <c r="J413" s="10"/>
      <c r="K413" s="10"/>
    </row>
    <row r="414" spans="1:11" x14ac:dyDescent="0.3">
      <c r="A414" s="10"/>
      <c r="B414" s="10"/>
      <c r="C414" s="10"/>
      <c r="D414" s="10"/>
      <c r="E414" s="10"/>
      <c r="F414" s="10"/>
      <c r="G414" s="10"/>
      <c r="H414" s="10"/>
      <c r="I414" s="10"/>
      <c r="J414" s="10"/>
      <c r="K414" s="10"/>
    </row>
    <row r="415" spans="1:11" x14ac:dyDescent="0.3">
      <c r="A415" s="10"/>
      <c r="B415" s="10"/>
      <c r="C415" s="10"/>
      <c r="D415" s="10"/>
      <c r="E415" s="10"/>
      <c r="F415" s="10"/>
      <c r="G415" s="10"/>
      <c r="H415" s="10"/>
      <c r="I415" s="10"/>
      <c r="J415" s="10"/>
      <c r="K415" s="10"/>
    </row>
    <row r="416" spans="1:11" x14ac:dyDescent="0.3">
      <c r="A416" s="10"/>
      <c r="B416" s="10"/>
      <c r="C416" s="10"/>
      <c r="D416" s="10"/>
      <c r="E416" s="10"/>
      <c r="F416" s="10"/>
      <c r="G416" s="10"/>
      <c r="H416" s="10"/>
      <c r="I416" s="10"/>
      <c r="J416" s="10"/>
      <c r="K416" s="10"/>
    </row>
    <row r="417" spans="1:11" x14ac:dyDescent="0.3">
      <c r="A417" s="10"/>
      <c r="B417" s="10"/>
      <c r="C417" s="10"/>
      <c r="D417" s="10"/>
      <c r="E417" s="10"/>
      <c r="F417" s="10"/>
      <c r="G417" s="10"/>
      <c r="H417" s="10"/>
      <c r="I417" s="10"/>
      <c r="J417" s="10"/>
      <c r="K417" s="10"/>
    </row>
    <row r="418" spans="1:11" x14ac:dyDescent="0.3">
      <c r="A418" s="10"/>
      <c r="B418" s="10"/>
      <c r="C418" s="10"/>
      <c r="D418" s="10"/>
      <c r="E418" s="10"/>
      <c r="F418" s="10"/>
      <c r="G418" s="10"/>
      <c r="H418" s="10"/>
      <c r="I418" s="10"/>
      <c r="J418" s="10"/>
      <c r="K418" s="10"/>
    </row>
    <row r="419" spans="1:11" x14ac:dyDescent="0.3">
      <c r="A419" s="10"/>
      <c r="B419" s="10"/>
      <c r="C419" s="10"/>
      <c r="D419" s="10"/>
      <c r="E419" s="10"/>
      <c r="F419" s="10"/>
      <c r="G419" s="10"/>
      <c r="H419" s="10"/>
      <c r="I419" s="10"/>
      <c r="J419" s="10"/>
      <c r="K419" s="10"/>
    </row>
    <row r="420" spans="1:11" x14ac:dyDescent="0.3">
      <c r="A420" s="10"/>
      <c r="B420" s="10"/>
      <c r="C420" s="10"/>
      <c r="D420" s="10"/>
      <c r="E420" s="10"/>
      <c r="F420" s="10"/>
      <c r="G420" s="10"/>
      <c r="H420" s="10"/>
      <c r="I420" s="10"/>
      <c r="J420" s="10"/>
      <c r="K420" s="10"/>
    </row>
    <row r="421" spans="1:11" x14ac:dyDescent="0.3">
      <c r="A421" s="10"/>
      <c r="B421" s="10"/>
      <c r="C421" s="10"/>
      <c r="D421" s="10"/>
      <c r="E421" s="10"/>
      <c r="F421" s="10"/>
      <c r="G421" s="10"/>
      <c r="H421" s="10"/>
      <c r="I421" s="10"/>
      <c r="J421" s="10"/>
      <c r="K421" s="10"/>
    </row>
    <row r="422" spans="1:11" x14ac:dyDescent="0.3">
      <c r="A422" s="10"/>
      <c r="B422" s="10"/>
      <c r="C422" s="10"/>
      <c r="D422" s="10"/>
      <c r="E422" s="10"/>
      <c r="F422" s="10"/>
      <c r="G422" s="10"/>
      <c r="H422" s="10"/>
      <c r="I422" s="10"/>
      <c r="J422" s="10"/>
      <c r="K422" s="10"/>
    </row>
    <row r="423" spans="1:11" x14ac:dyDescent="0.3">
      <c r="A423" s="10"/>
      <c r="B423" s="10"/>
      <c r="C423" s="10"/>
      <c r="D423" s="10"/>
      <c r="E423" s="10"/>
      <c r="F423" s="10"/>
      <c r="G423" s="10"/>
      <c r="H423" s="10"/>
      <c r="I423" s="10"/>
      <c r="J423" s="10"/>
      <c r="K423" s="10"/>
    </row>
    <row r="424" spans="1:11" x14ac:dyDescent="0.3">
      <c r="A424" s="10"/>
      <c r="B424" s="10"/>
      <c r="C424" s="10"/>
      <c r="D424" s="10"/>
      <c r="E424" s="10"/>
      <c r="F424" s="10"/>
      <c r="G424" s="10"/>
      <c r="H424" s="10"/>
      <c r="I424" s="10"/>
      <c r="J424" s="10"/>
      <c r="K424" s="10"/>
    </row>
    <row r="425" spans="1:11" x14ac:dyDescent="0.3">
      <c r="A425" s="10"/>
      <c r="B425" s="10"/>
      <c r="C425" s="10"/>
      <c r="D425" s="10"/>
      <c r="E425" s="10"/>
      <c r="F425" s="10"/>
      <c r="G425" s="10"/>
      <c r="H425" s="10"/>
      <c r="I425" s="10"/>
      <c r="J425" s="10"/>
      <c r="K425" s="10"/>
    </row>
    <row r="426" spans="1:11" x14ac:dyDescent="0.3">
      <c r="A426" s="10"/>
      <c r="B426" s="10"/>
      <c r="C426" s="10"/>
      <c r="D426" s="10"/>
      <c r="E426" s="10"/>
      <c r="F426" s="10"/>
      <c r="G426" s="10"/>
      <c r="H426" s="10"/>
      <c r="I426" s="10"/>
      <c r="J426" s="10"/>
      <c r="K426" s="10"/>
    </row>
    <row r="427" spans="1:11" x14ac:dyDescent="0.3">
      <c r="A427" s="10"/>
      <c r="B427" s="10"/>
      <c r="C427" s="10"/>
      <c r="D427" s="10"/>
      <c r="E427" s="10"/>
      <c r="F427" s="10"/>
      <c r="G427" s="10"/>
      <c r="H427" s="10"/>
      <c r="I427" s="10"/>
      <c r="J427" s="10"/>
      <c r="K427" s="10"/>
    </row>
    <row r="428" spans="1:11" x14ac:dyDescent="0.3">
      <c r="A428" s="10"/>
      <c r="B428" s="10"/>
      <c r="C428" s="10"/>
      <c r="D428" s="10"/>
      <c r="E428" s="10"/>
      <c r="F428" s="10"/>
      <c r="G428" s="10"/>
      <c r="H428" s="10"/>
      <c r="I428" s="10"/>
      <c r="J428" s="10"/>
      <c r="K428" s="10"/>
    </row>
    <row r="429" spans="1:11" x14ac:dyDescent="0.3">
      <c r="A429" s="10"/>
      <c r="B429" s="10"/>
      <c r="C429" s="10"/>
      <c r="D429" s="10"/>
      <c r="E429" s="10"/>
      <c r="F429" s="10"/>
      <c r="G429" s="10"/>
      <c r="H429" s="10"/>
      <c r="I429" s="10"/>
      <c r="J429" s="10"/>
      <c r="K429" s="10"/>
    </row>
    <row r="430" spans="1:11" x14ac:dyDescent="0.3">
      <c r="A430" s="10"/>
      <c r="B430" s="10"/>
      <c r="C430" s="10"/>
      <c r="D430" s="10"/>
      <c r="E430" s="10"/>
      <c r="F430" s="10"/>
      <c r="G430" s="10"/>
      <c r="H430" s="10"/>
      <c r="I430" s="10"/>
      <c r="J430" s="10"/>
      <c r="K430" s="10"/>
    </row>
    <row r="431" spans="1:11" x14ac:dyDescent="0.3">
      <c r="A431" s="10"/>
      <c r="B431" s="10"/>
      <c r="C431" s="10"/>
      <c r="D431" s="10"/>
      <c r="E431" s="10"/>
      <c r="F431" s="10"/>
      <c r="G431" s="10"/>
      <c r="H431" s="10"/>
      <c r="I431" s="10"/>
      <c r="J431" s="10"/>
      <c r="K431" s="10"/>
    </row>
    <row r="432" spans="1:11" x14ac:dyDescent="0.3">
      <c r="A432" s="10"/>
      <c r="B432" s="10"/>
      <c r="C432" s="10"/>
      <c r="D432" s="10"/>
      <c r="E432" s="10"/>
      <c r="F432" s="10"/>
      <c r="G432" s="10"/>
      <c r="H432" s="10"/>
      <c r="I432" s="10"/>
      <c r="J432" s="10"/>
      <c r="K432" s="10"/>
    </row>
    <row r="433" spans="1:11" x14ac:dyDescent="0.3">
      <c r="A433" s="10"/>
      <c r="B433" s="10"/>
      <c r="C433" s="10"/>
      <c r="D433" s="10"/>
      <c r="E433" s="10"/>
      <c r="F433" s="10"/>
      <c r="G433" s="10"/>
      <c r="H433" s="10"/>
      <c r="I433" s="10"/>
      <c r="J433" s="10"/>
      <c r="K433" s="10"/>
    </row>
    <row r="434" spans="1:11" x14ac:dyDescent="0.3">
      <c r="A434" s="10"/>
      <c r="B434" s="10"/>
      <c r="C434" s="10"/>
      <c r="D434" s="10"/>
      <c r="E434" s="10"/>
      <c r="F434" s="10"/>
      <c r="G434" s="10"/>
      <c r="H434" s="10"/>
      <c r="I434" s="10"/>
      <c r="J434" s="10"/>
      <c r="K434" s="10"/>
    </row>
    <row r="435" spans="1:11" x14ac:dyDescent="0.3">
      <c r="A435" s="10"/>
      <c r="B435" s="10"/>
      <c r="C435" s="10"/>
      <c r="D435" s="10"/>
      <c r="E435" s="10"/>
      <c r="F435" s="10"/>
      <c r="G435" s="10"/>
      <c r="H435" s="10"/>
      <c r="I435" s="10"/>
      <c r="J435" s="10"/>
      <c r="K435" s="10"/>
    </row>
    <row r="436" spans="1:11" x14ac:dyDescent="0.3">
      <c r="A436" s="10"/>
      <c r="B436" s="10"/>
      <c r="C436" s="10"/>
      <c r="D436" s="10"/>
      <c r="E436" s="10"/>
      <c r="F436" s="10"/>
      <c r="G436" s="10"/>
      <c r="H436" s="10"/>
      <c r="I436" s="10"/>
      <c r="J436" s="10"/>
      <c r="K436" s="10"/>
    </row>
    <row r="437" spans="1:11" x14ac:dyDescent="0.3">
      <c r="A437" s="10"/>
      <c r="B437" s="10"/>
      <c r="C437" s="10"/>
      <c r="D437" s="10"/>
      <c r="E437" s="10"/>
      <c r="F437" s="10"/>
      <c r="G437" s="10"/>
      <c r="H437" s="10"/>
      <c r="I437" s="10"/>
      <c r="J437" s="10"/>
      <c r="K437" s="10"/>
    </row>
    <row r="438" spans="1:11" x14ac:dyDescent="0.3">
      <c r="A438" s="10"/>
      <c r="B438" s="10"/>
      <c r="C438" s="10"/>
      <c r="D438" s="10"/>
      <c r="E438" s="10"/>
      <c r="F438" s="10"/>
      <c r="G438" s="10"/>
      <c r="H438" s="10"/>
      <c r="I438" s="10"/>
      <c r="J438" s="10"/>
      <c r="K438" s="10"/>
    </row>
    <row r="439" spans="1:11" x14ac:dyDescent="0.3">
      <c r="A439" s="10"/>
      <c r="B439" s="10"/>
      <c r="C439" s="10"/>
      <c r="D439" s="10"/>
      <c r="E439" s="10"/>
      <c r="F439" s="10"/>
      <c r="G439" s="10"/>
      <c r="H439" s="10"/>
      <c r="I439" s="10"/>
      <c r="J439" s="10"/>
      <c r="K439" s="10"/>
    </row>
    <row r="440" spans="1:11" x14ac:dyDescent="0.3">
      <c r="A440" s="10"/>
      <c r="B440" s="10"/>
      <c r="C440" s="10"/>
      <c r="D440" s="10"/>
      <c r="E440" s="10"/>
      <c r="F440" s="10"/>
      <c r="G440" s="10"/>
      <c r="H440" s="10"/>
      <c r="I440" s="10"/>
      <c r="J440" s="10"/>
      <c r="K440" s="10"/>
    </row>
    <row r="441" spans="1:11" x14ac:dyDescent="0.3">
      <c r="A441" s="10"/>
      <c r="B441" s="10"/>
      <c r="C441" s="10"/>
      <c r="D441" s="10"/>
      <c r="E441" s="10"/>
      <c r="F441" s="10"/>
      <c r="G441" s="10"/>
      <c r="H441" s="10"/>
      <c r="I441" s="10"/>
      <c r="J441" s="10"/>
      <c r="K441" s="10"/>
    </row>
    <row r="442" spans="1:11" x14ac:dyDescent="0.3">
      <c r="A442" s="10"/>
      <c r="B442" s="10"/>
      <c r="C442" s="10"/>
      <c r="D442" s="10"/>
      <c r="E442" s="10"/>
      <c r="F442" s="10"/>
      <c r="G442" s="10"/>
      <c r="H442" s="10"/>
      <c r="I442" s="10"/>
      <c r="J442" s="10"/>
      <c r="K442" s="10"/>
    </row>
    <row r="443" spans="1:11" x14ac:dyDescent="0.3">
      <c r="A443" s="10"/>
      <c r="B443" s="10"/>
      <c r="C443" s="10"/>
      <c r="D443" s="10"/>
      <c r="E443" s="10"/>
      <c r="F443" s="10"/>
      <c r="G443" s="10"/>
      <c r="H443" s="10"/>
      <c r="I443" s="10"/>
      <c r="J443" s="10"/>
      <c r="K443" s="10"/>
    </row>
    <row r="444" spans="1:11" x14ac:dyDescent="0.3">
      <c r="A444" s="10"/>
      <c r="B444" s="10"/>
      <c r="C444" s="10"/>
      <c r="D444" s="10"/>
      <c r="E444" s="10"/>
      <c r="F444" s="10"/>
      <c r="G444" s="10"/>
      <c r="H444" s="10"/>
      <c r="I444" s="10"/>
      <c r="J444" s="10"/>
      <c r="K444" s="10"/>
    </row>
    <row r="445" spans="1:11" x14ac:dyDescent="0.3">
      <c r="A445" s="10"/>
      <c r="B445" s="10"/>
      <c r="C445" s="10"/>
      <c r="D445" s="10"/>
      <c r="E445" s="10"/>
      <c r="F445" s="10"/>
      <c r="G445" s="10"/>
      <c r="H445" s="10"/>
      <c r="I445" s="10"/>
      <c r="J445" s="10"/>
    </row>
  </sheetData>
  <sheetProtection password="E593" sheet="1" objects="1" scenarios="1" selectLockedCells="1"/>
  <customSheetViews>
    <customSheetView guid="{B63065A1-7838-417A-8679-08A8A2B79CD8}" showPageBreaks="1" showGridLines="0" fitToPage="1" printArea="1" topLeftCell="A4">
      <selection activeCell="I3" sqref="I3"/>
      <rowBreaks count="1" manualBreakCount="1">
        <brk id="45" max="8" man="1"/>
      </rowBreaks>
      <pageMargins left="1" right="0.7" top="0.75" bottom="0.75" header="0.3" footer="0.3"/>
      <pageSetup scale="56" orientation="portrait" blackAndWhite="1" r:id="rId1"/>
      <headerFooter alignWithMargins="0"/>
    </customSheetView>
  </customSheetViews>
  <mergeCells count="16">
    <mergeCell ref="B4:J4"/>
    <mergeCell ref="C6:I6"/>
    <mergeCell ref="C74:I75"/>
    <mergeCell ref="C76:I81"/>
    <mergeCell ref="C65:F65"/>
    <mergeCell ref="C9:H9"/>
    <mergeCell ref="C13:I13"/>
    <mergeCell ref="C19:I19"/>
    <mergeCell ref="C24:I24"/>
    <mergeCell ref="C29:I29"/>
    <mergeCell ref="C34:I34"/>
    <mergeCell ref="C39:I39"/>
    <mergeCell ref="E62:G62"/>
    <mergeCell ref="C68:I69"/>
    <mergeCell ref="C71:E71"/>
    <mergeCell ref="F71:I71"/>
  </mergeCells>
  <conditionalFormatting sqref="E53">
    <cfRule type="expression" dxfId="61" priority="3" stopIfTrue="1">
      <formula>$C$53="Other"</formula>
    </cfRule>
  </conditionalFormatting>
  <conditionalFormatting sqref="E62:I62">
    <cfRule type="expression" dxfId="60" priority="2" stopIfTrue="1">
      <formula>$C$62="Other"</formula>
    </cfRule>
  </conditionalFormatting>
  <conditionalFormatting sqref="E59">
    <cfRule type="expression" dxfId="59" priority="1" stopIfTrue="1">
      <formula>$C$59="Other"</formula>
    </cfRule>
  </conditionalFormatting>
  <dataValidations count="11">
    <dataValidation type="list" allowBlank="1" showInputMessage="1" showErrorMessage="1" sqref="C53 C62">
      <formula1>"Monthly, Quarterly, Other"</formula1>
    </dataValidation>
    <dataValidation type="list" allowBlank="1" showErrorMessage="1" prompt="_x000a_" sqref="C8">
      <formula1>"100 Cubic Feet (CCF), 1000 Gallons (Mgal)"</formula1>
    </dataValidation>
    <dataValidation type="list" allowBlank="1" showInputMessage="1" showErrorMessage="1" sqref="C50">
      <formula1>"Postcards, Envelopes"</formula1>
    </dataValidation>
    <dataValidation type="list" allowBlank="1" showInputMessage="1" showErrorMessage="1" sqref="C65">
      <formula1>"All meters are read within one 24-hour period, Meters are read continuously on consecutive days until complete., Meters are read in cycle (one-third of customers are read each month)."</formula1>
    </dataValidation>
    <dataValidation type="list" allowBlank="1" showInputMessage="1" showErrorMessage="1" sqref="E15:E18 E20:E23 E25:E28 E30:E33 E35:E38 E40:E43">
      <formula1>"5/8"",3/4"",1"",1 1/4"",1 1/2"",2"",2 1/2"",3"",4"",6"",8"",10"",12"""</formula1>
    </dataValidation>
    <dataValidation type="whole" allowBlank="1" showInputMessage="1" showErrorMessage="1" errorTitle="Billing Period" error="Please enter the number of times you bill your customers as a number between 1 and 12." sqref="E53 E59">
      <formula1>1</formula1>
      <formula2>12</formula2>
    </dataValidation>
    <dataValidation allowBlank="1" showInputMessage="1" showErrorMessage="1" errorTitle="Billing Period" error="Please enter the number of times you bill your customers as a number between 1 and 12." sqref="F53:I53 F59:G59"/>
    <dataValidation type="list" allowBlank="1" showInputMessage="1" showErrorMessage="1" sqref="H15:H18 H40:H43 H35:H38 H30:H33 H20:H23 H25:H28">
      <formula1>$V$20:$V$21</formula1>
    </dataValidation>
    <dataValidation type="list" allowBlank="1" showInputMessage="1" showErrorMessage="1" sqref="I40:I43 I35:I38 I30:I33 I25:I28 I15:I18 I20:I23">
      <formula1>$W$20:$W$24</formula1>
    </dataValidation>
    <dataValidation type="list" allowBlank="1" showInputMessage="1" showErrorMessage="1" sqref="C56">
      <formula1>"No,Yes,Maybe"</formula1>
    </dataValidation>
    <dataValidation type="list" allowBlank="1" sqref="C59">
      <formula1>"No Change, Monthly, Quarterly, Other"</formula1>
    </dataValidation>
  </dataValidations>
  <pageMargins left="1" right="0.7" top="0.75" bottom="0.75" header="0.3" footer="0.3"/>
  <pageSetup scale="66" fitToHeight="0" orientation="portrait" blackAndWhite="1" r:id="rId2"/>
  <headerFooter alignWithMargins="0"/>
  <rowBreaks count="1" manualBreakCount="1">
    <brk id="45" max="16383" man="1"/>
  </rowBreaks>
  <ignoredErrors>
    <ignoredError sqref="F53 E62"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163" r:id="rId5" name="Button 19">
              <controlPr defaultSize="0" print="0" autoFill="0" autoPict="0" macro="[0]!BackMain">
                <anchor moveWithCells="1" sizeWithCells="1">
                  <from>
                    <xdr:col>1</xdr:col>
                    <xdr:colOff>7620</xdr:colOff>
                    <xdr:row>0</xdr:row>
                    <xdr:rowOff>106680</xdr:rowOff>
                  </from>
                  <to>
                    <xdr:col>2</xdr:col>
                    <xdr:colOff>198120</xdr:colOff>
                    <xdr:row>2</xdr:row>
                    <xdr:rowOff>114300</xdr:rowOff>
                  </to>
                </anchor>
              </controlPr>
            </control>
          </mc:Choice>
        </mc:AlternateContent>
        <mc:AlternateContent xmlns:mc="http://schemas.openxmlformats.org/markup-compatibility/2006">
          <mc:Choice Requires="x14">
            <control shapeId="6164" r:id="rId6" name="Button 20">
              <controlPr defaultSize="0" print="0" autoFill="0" autoPict="0" macro="[0]!BackMain">
                <anchor moveWithCells="1" sizeWithCells="1">
                  <from>
                    <xdr:col>8</xdr:col>
                    <xdr:colOff>861060</xdr:colOff>
                    <xdr:row>44</xdr:row>
                    <xdr:rowOff>152400</xdr:rowOff>
                  </from>
                  <to>
                    <xdr:col>10</xdr:col>
                    <xdr:colOff>0</xdr:colOff>
                    <xdr:row>46</xdr:row>
                    <xdr:rowOff>167640</xdr:rowOff>
                  </to>
                </anchor>
              </controlPr>
            </control>
          </mc:Choice>
        </mc:AlternateContent>
        <mc:AlternateContent xmlns:mc="http://schemas.openxmlformats.org/markup-compatibility/2006">
          <mc:Choice Requires="x14">
            <control shapeId="6179" r:id="rId7" name="Button 35">
              <controlPr defaultSize="0" print="0" autoFill="0" autoPict="0" macro="[0]!BackMain">
                <anchor moveWithCells="1" sizeWithCells="1">
                  <from>
                    <xdr:col>8</xdr:col>
                    <xdr:colOff>822960</xdr:colOff>
                    <xdr:row>82</xdr:row>
                    <xdr:rowOff>152400</xdr:rowOff>
                  </from>
                  <to>
                    <xdr:col>10</xdr:col>
                    <xdr:colOff>0</xdr:colOff>
                    <xdr:row>84</xdr:row>
                    <xdr:rowOff>152400</xdr:rowOff>
                  </to>
                </anchor>
              </controlPr>
            </control>
          </mc:Choice>
        </mc:AlternateContent>
        <mc:AlternateContent xmlns:mc="http://schemas.openxmlformats.org/markup-compatibility/2006">
          <mc:Choice Requires="x14">
            <control shapeId="6187" r:id="rId8" name="Button 43">
              <controlPr defaultSize="0" print="0" autoFill="0" autoPict="0" macro="[0]!PrintAttach1">
                <anchor moveWithCells="1" sizeWithCells="1">
                  <from>
                    <xdr:col>8</xdr:col>
                    <xdr:colOff>144780</xdr:colOff>
                    <xdr:row>0</xdr:row>
                    <xdr:rowOff>106680</xdr:rowOff>
                  </from>
                  <to>
                    <xdr:col>10</xdr:col>
                    <xdr:colOff>22860</xdr:colOff>
                    <xdr:row>2</xdr:row>
                    <xdr:rowOff>68580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pageSetUpPr fitToPage="1"/>
  </sheetPr>
  <dimension ref="A1:O80"/>
  <sheetViews>
    <sheetView showGridLines="0" zoomScaleNormal="100" workbookViewId="0">
      <selection activeCell="E1" sqref="E1"/>
    </sheetView>
  </sheetViews>
  <sheetFormatPr defaultRowHeight="14.4" x14ac:dyDescent="0.3"/>
  <cols>
    <col min="2" max="2" width="9.109375" customWidth="1"/>
    <col min="3" max="3" width="15.5546875" customWidth="1"/>
    <col min="4" max="5" width="17.109375" customWidth="1"/>
    <col min="6" max="6" width="19.33203125" customWidth="1"/>
    <col min="7" max="7" width="14.44140625" customWidth="1"/>
    <col min="8" max="8" width="14.109375" customWidth="1"/>
    <col min="9" max="9" width="14" customWidth="1"/>
    <col min="10" max="10" width="15.6640625" customWidth="1"/>
    <col min="13" max="13" width="10.109375" customWidth="1"/>
    <col min="14" max="14" width="8.88671875" style="1718" customWidth="1"/>
    <col min="15" max="15" width="11.33203125" style="1718" customWidth="1"/>
  </cols>
  <sheetData>
    <row r="1" spans="1:15" ht="48" customHeight="1" x14ac:dyDescent="0.3">
      <c r="A1" s="1157"/>
      <c r="B1" s="78"/>
      <c r="C1" s="78"/>
      <c r="D1" s="177"/>
      <c r="E1" s="78"/>
      <c r="F1" s="1157"/>
      <c r="G1" s="1157"/>
      <c r="H1" s="219"/>
      <c r="I1" s="1157"/>
      <c r="J1" s="219"/>
      <c r="K1" s="219"/>
      <c r="L1" s="219"/>
      <c r="M1" s="219"/>
      <c r="N1" s="1719"/>
    </row>
    <row r="2" spans="1:15" ht="17.25" customHeight="1" x14ac:dyDescent="0.3">
      <c r="A2" s="1157"/>
      <c r="B2" s="81" t="str">
        <f>TestYear &amp; " Test Year"</f>
        <v>2023 Test Year</v>
      </c>
      <c r="C2" s="78"/>
      <c r="D2" s="78"/>
      <c r="E2" s="2356" t="str">
        <f>Utility</f>
        <v>Cleveland Water Utility</v>
      </c>
      <c r="F2" s="2356"/>
      <c r="G2" s="2356"/>
      <c r="H2" s="2356"/>
      <c r="I2" s="2356"/>
      <c r="J2" s="80"/>
      <c r="K2" s="80"/>
      <c r="L2" s="182" t="s">
        <v>951</v>
      </c>
      <c r="M2" s="80"/>
      <c r="N2" s="1720"/>
    </row>
    <row r="3" spans="1:15" s="2039" customFormat="1" ht="20.25" customHeight="1" x14ac:dyDescent="0.3">
      <c r="A3" s="2037"/>
      <c r="B3" s="2037"/>
      <c r="C3" s="2037"/>
      <c r="D3" s="2037"/>
      <c r="E3" s="2357" t="s">
        <v>874</v>
      </c>
      <c r="F3" s="2357"/>
      <c r="G3" s="2357"/>
      <c r="H3" s="2357"/>
      <c r="I3" s="2357"/>
      <c r="J3" s="2037"/>
      <c r="K3" s="2037"/>
      <c r="L3" s="2037"/>
      <c r="M3" s="2037"/>
      <c r="N3" s="2038"/>
      <c r="O3" s="2038"/>
    </row>
    <row r="4" spans="1:15" ht="19.5" customHeight="1" x14ac:dyDescent="0.3">
      <c r="A4" s="1157"/>
      <c r="B4" s="1726"/>
      <c r="C4" s="2036" t="s">
        <v>1239</v>
      </c>
      <c r="D4" s="1727"/>
      <c r="E4" s="1727"/>
      <c r="F4" s="1727"/>
      <c r="G4" s="1727"/>
      <c r="H4" s="1727"/>
      <c r="I4" s="1727"/>
      <c r="J4" s="1727"/>
      <c r="K4" s="1727"/>
      <c r="L4" s="1728"/>
      <c r="M4" s="1158"/>
    </row>
    <row r="5" spans="1:15" ht="17.25" customHeight="1" x14ac:dyDescent="0.3">
      <c r="A5" s="1157"/>
      <c r="B5" s="1731"/>
      <c r="C5" s="1159" t="s">
        <v>1240</v>
      </c>
      <c r="D5" s="1160"/>
      <c r="E5" s="1160"/>
      <c r="F5" s="1160"/>
      <c r="G5" s="1160"/>
      <c r="H5" s="1160"/>
      <c r="I5" s="1160"/>
      <c r="J5" s="1171"/>
      <c r="K5" s="1171"/>
      <c r="L5" s="1730"/>
      <c r="M5" s="1158"/>
    </row>
    <row r="6" spans="1:15" ht="18" customHeight="1" x14ac:dyDescent="0.3">
      <c r="A6" s="1157"/>
      <c r="B6" s="1731"/>
      <c r="C6" s="1159" t="s">
        <v>1241</v>
      </c>
      <c r="D6" s="1160"/>
      <c r="E6" s="1160"/>
      <c r="F6" s="1160"/>
      <c r="G6" s="1160"/>
      <c r="H6" s="1160"/>
      <c r="I6" s="1160"/>
      <c r="J6" s="1171"/>
      <c r="K6" s="1171"/>
      <c r="L6" s="1730"/>
      <c r="M6" s="1158"/>
    </row>
    <row r="7" spans="1:15" ht="15" thickBot="1" x14ac:dyDescent="0.35">
      <c r="A7" s="1157"/>
      <c r="B7" s="1731"/>
      <c r="C7" s="1160"/>
      <c r="D7" s="1160"/>
      <c r="E7" s="1160"/>
      <c r="F7" s="1160"/>
      <c r="G7" s="1160"/>
      <c r="H7" s="1160"/>
      <c r="I7" s="1160"/>
      <c r="J7" s="1160"/>
      <c r="K7" s="1160"/>
      <c r="L7" s="1730"/>
      <c r="M7" s="1158"/>
    </row>
    <row r="8" spans="1:15" ht="15" thickBot="1" x14ac:dyDescent="0.35">
      <c r="A8" s="1157"/>
      <c r="B8" s="1729"/>
      <c r="C8" s="1168" t="s">
        <v>842</v>
      </c>
      <c r="D8" s="195"/>
      <c r="E8" s="233">
        <f>IF(Question2="Monthly",12,IF(Question2="Quarterly",4,Attach1!E53))</f>
        <v>12</v>
      </c>
      <c r="F8" s="212"/>
      <c r="G8" s="212"/>
      <c r="H8" s="212"/>
      <c r="I8" s="1169" t="s">
        <v>170</v>
      </c>
      <c r="J8" s="2353">
        <v>45107</v>
      </c>
      <c r="K8" s="2354"/>
      <c r="L8" s="1730"/>
      <c r="M8" s="1158"/>
    </row>
    <row r="9" spans="1:15" x14ac:dyDescent="0.3">
      <c r="A9" s="1157"/>
      <c r="B9" s="1729"/>
      <c r="C9" s="217"/>
      <c r="D9" s="195"/>
      <c r="E9" s="1166"/>
      <c r="F9" s="212"/>
      <c r="G9" s="212"/>
      <c r="H9" s="212"/>
      <c r="I9" s="227"/>
      <c r="J9" s="1167"/>
      <c r="K9" s="1167"/>
      <c r="L9" s="1730"/>
      <c r="M9" s="1158"/>
    </row>
    <row r="10" spans="1:15" x14ac:dyDescent="0.3">
      <c r="A10" s="1157"/>
      <c r="B10" s="1731"/>
      <c r="C10" s="1159" t="s">
        <v>873</v>
      </c>
      <c r="D10" s="1160"/>
      <c r="E10" s="1160"/>
      <c r="F10" s="1160"/>
      <c r="G10" s="1345" t="s">
        <v>963</v>
      </c>
      <c r="H10" s="1171"/>
      <c r="I10" s="1171"/>
      <c r="J10" s="1160"/>
      <c r="K10" s="1160"/>
      <c r="L10" s="1730"/>
      <c r="M10" s="1158"/>
    </row>
    <row r="11" spans="1:15" x14ac:dyDescent="0.3">
      <c r="A11" s="1157"/>
      <c r="B11" s="1731"/>
      <c r="C11" s="1489" t="s">
        <v>1006</v>
      </c>
      <c r="D11" s="1171"/>
      <c r="E11" s="1160"/>
      <c r="F11" s="1160"/>
      <c r="G11" s="1160"/>
      <c r="H11" s="1160"/>
      <c r="I11" s="1160"/>
      <c r="J11" s="1160"/>
      <c r="K11" s="1160"/>
      <c r="L11" s="1730"/>
      <c r="M11" s="1158"/>
    </row>
    <row r="12" spans="1:15" x14ac:dyDescent="0.3">
      <c r="A12" s="1157"/>
      <c r="B12" s="1731"/>
      <c r="C12" s="1160" t="s">
        <v>1201</v>
      </c>
      <c r="D12" s="1172"/>
      <c r="E12" s="1160"/>
      <c r="F12" s="1160"/>
      <c r="G12" s="1160"/>
      <c r="H12" s="1160"/>
      <c r="I12" s="1160"/>
      <c r="J12" s="1160"/>
      <c r="K12" s="1160"/>
      <c r="L12" s="1730"/>
      <c r="M12" s="1158"/>
    </row>
    <row r="13" spans="1:15" x14ac:dyDescent="0.3">
      <c r="A13" s="1157"/>
      <c r="B13" s="1731"/>
      <c r="C13" s="1159" t="str">
        <f>IF(CBRate="Yes","Which rate schedules do you have?","")</f>
        <v/>
      </c>
      <c r="D13" s="1160"/>
      <c r="E13" s="1160"/>
      <c r="F13" s="1160"/>
      <c r="G13" s="1160"/>
      <c r="H13" s="1160"/>
      <c r="I13" s="1160"/>
      <c r="J13" s="1160"/>
      <c r="K13" s="1160"/>
      <c r="L13" s="1730"/>
      <c r="M13" s="1158"/>
    </row>
    <row r="14" spans="1:15" x14ac:dyDescent="0.3">
      <c r="A14" s="1157"/>
      <c r="B14" s="1731"/>
      <c r="C14" s="1159"/>
      <c r="D14" s="1160"/>
      <c r="E14" s="1160" t="str">
        <f>IF(CBRate="Yes","Nonresidential","")</f>
        <v/>
      </c>
      <c r="F14" s="1346" t="s">
        <v>963</v>
      </c>
      <c r="G14" s="1160"/>
      <c r="H14" s="1160" t="str">
        <f>IF(CBRate="Yes","Multifamily","")</f>
        <v/>
      </c>
      <c r="I14" s="1346"/>
      <c r="J14" s="1160"/>
      <c r="K14" s="1160"/>
      <c r="L14" s="1730"/>
      <c r="M14" s="1158"/>
    </row>
    <row r="15" spans="1:15" x14ac:dyDescent="0.3">
      <c r="A15" s="1157"/>
      <c r="B15" s="1731"/>
      <c r="C15" s="1159"/>
      <c r="D15" s="1160"/>
      <c r="E15" s="1160"/>
      <c r="F15" s="1160"/>
      <c r="G15" s="1160"/>
      <c r="H15" s="1160" t="str">
        <f>IF(CBRate="Yes","Irrigation","")</f>
        <v/>
      </c>
      <c r="I15" s="1346"/>
      <c r="J15" s="1160"/>
      <c r="K15" s="1160"/>
      <c r="L15" s="1730"/>
      <c r="M15" s="1158"/>
    </row>
    <row r="16" spans="1:15" ht="30" customHeight="1" x14ac:dyDescent="0.3">
      <c r="A16" s="1157"/>
      <c r="B16" s="1731"/>
      <c r="C16" s="1159"/>
      <c r="D16" s="1457"/>
      <c r="E16" s="1457"/>
      <c r="F16" s="1457"/>
      <c r="G16" s="1457"/>
      <c r="H16" s="2355" t="str">
        <f>IF(AND(MFRates="Yes",CBRate="Yes"),"Multifamily Residential","")</f>
        <v/>
      </c>
      <c r="I16" s="1160"/>
      <c r="J16" s="1160"/>
      <c r="K16" s="1160"/>
      <c r="L16" s="1730"/>
      <c r="M16" s="1158"/>
    </row>
    <row r="17" spans="1:13" ht="15" customHeight="1" x14ac:dyDescent="0.3">
      <c r="A17" s="1157"/>
      <c r="B17" s="1731"/>
      <c r="C17" s="1171"/>
      <c r="D17" s="1703" t="str">
        <f>IF(CBRate="","","Volume Block")</f>
        <v>Volume Block</v>
      </c>
      <c r="E17" s="1340" t="str">
        <f>IF(CBRate="Yes","Residential","Rate")</f>
        <v>Rate</v>
      </c>
      <c r="F17" s="1703" t="str">
        <f>IF(AND(NRRates="Yes",CBRate="Yes"),"Nonresidential","")</f>
        <v/>
      </c>
      <c r="G17" s="1340" t="str">
        <f>IF(AND(IrrRates="Yes",G10="Yes"),"Irrigation","")</f>
        <v/>
      </c>
      <c r="H17" s="2355"/>
      <c r="I17" s="1160"/>
      <c r="J17" s="1160"/>
      <c r="K17" s="1160"/>
      <c r="L17" s="1730"/>
      <c r="M17" s="1158"/>
    </row>
    <row r="18" spans="1:13" x14ac:dyDescent="0.3">
      <c r="A18" s="1157"/>
      <c r="B18" s="1731"/>
      <c r="C18" s="1458" t="str">
        <f>IF(CBRate="","","First")</f>
        <v>First</v>
      </c>
      <c r="D18" s="1343">
        <v>10000</v>
      </c>
      <c r="E18" s="1351">
        <v>5.21</v>
      </c>
      <c r="F18" s="1351"/>
      <c r="G18" s="1351"/>
      <c r="H18" s="1351"/>
      <c r="I18" s="1160"/>
      <c r="J18" s="1160"/>
      <c r="K18" s="1160"/>
      <c r="L18" s="1730"/>
      <c r="M18" s="1158"/>
    </row>
    <row r="19" spans="1:13" x14ac:dyDescent="0.3">
      <c r="A19" s="1157"/>
      <c r="B19" s="1731"/>
      <c r="C19" s="1459" t="str">
        <f>IF(CBRate="","","Next")</f>
        <v>Next</v>
      </c>
      <c r="D19" s="1343">
        <v>56700</v>
      </c>
      <c r="E19" s="1351">
        <v>3.62</v>
      </c>
      <c r="F19" s="1351"/>
      <c r="G19" s="1351"/>
      <c r="H19" s="1351"/>
      <c r="I19" s="1160"/>
      <c r="J19" s="1160"/>
      <c r="K19" s="1160"/>
      <c r="L19" s="1730"/>
      <c r="M19" s="1158"/>
    </row>
    <row r="20" spans="1:13" x14ac:dyDescent="0.3">
      <c r="A20" s="1157"/>
      <c r="B20" s="1731"/>
      <c r="C20" s="1459" t="str">
        <f>IF(CBRate="","","Next")</f>
        <v>Next</v>
      </c>
      <c r="D20" s="1343">
        <v>0</v>
      </c>
      <c r="E20" s="1351"/>
      <c r="F20" s="1351"/>
      <c r="G20" s="1351"/>
      <c r="H20" s="1351"/>
      <c r="I20" s="1160"/>
      <c r="J20" s="1160"/>
      <c r="K20" s="1160"/>
      <c r="L20" s="1730"/>
      <c r="M20" s="1158"/>
    </row>
    <row r="21" spans="1:13" x14ac:dyDescent="0.3">
      <c r="A21" s="1157"/>
      <c r="B21" s="1731"/>
      <c r="C21" s="1459" t="str">
        <f>IF(CBRate="","","Next")</f>
        <v>Next</v>
      </c>
      <c r="D21" s="1343">
        <v>0</v>
      </c>
      <c r="E21" s="1351"/>
      <c r="F21" s="1351"/>
      <c r="G21" s="1351"/>
      <c r="H21" s="1351"/>
      <c r="I21" s="1160"/>
      <c r="J21" s="1160"/>
      <c r="K21" s="1160"/>
      <c r="L21" s="1730"/>
      <c r="M21" s="1158"/>
    </row>
    <row r="22" spans="1:13" x14ac:dyDescent="0.3">
      <c r="A22" s="1157"/>
      <c r="B22" s="1731"/>
      <c r="C22" s="1460" t="str">
        <f>IF(CBRate="","","Over")</f>
        <v>Over</v>
      </c>
      <c r="D22" s="1343">
        <f>SUM(D18:D21)</f>
        <v>66700</v>
      </c>
      <c r="E22" s="1351">
        <v>2.95</v>
      </c>
      <c r="F22" s="1351"/>
      <c r="G22" s="1351"/>
      <c r="H22" s="1351"/>
      <c r="I22" s="1160"/>
      <c r="J22" s="1160"/>
      <c r="K22" s="1160"/>
      <c r="L22" s="1730"/>
      <c r="M22" s="1158"/>
    </row>
    <row r="23" spans="1:13" hidden="1" x14ac:dyDescent="0.3">
      <c r="A23" s="1157"/>
      <c r="B23" s="1731"/>
      <c r="C23" s="1458" t="str">
        <f>IF(CBRate="","",IF(G10="Yes","First",""))</f>
        <v/>
      </c>
      <c r="D23" s="1343">
        <v>0</v>
      </c>
      <c r="E23" s="1351"/>
      <c r="F23" s="1351"/>
      <c r="G23" s="1351"/>
      <c r="H23" s="1351"/>
      <c r="I23" s="1160"/>
      <c r="J23" s="1160"/>
      <c r="K23" s="1160"/>
      <c r="L23" s="1730"/>
      <c r="M23" s="1158"/>
    </row>
    <row r="24" spans="1:13" hidden="1" x14ac:dyDescent="0.3">
      <c r="A24" s="1157"/>
      <c r="B24" s="1731"/>
      <c r="C24" s="1459" t="str">
        <f>IF(CBRate="","",IF(G10="Yes","Next",""))</f>
        <v/>
      </c>
      <c r="D24" s="1343">
        <v>0</v>
      </c>
      <c r="E24" s="1351"/>
      <c r="F24" s="1351"/>
      <c r="G24" s="1351"/>
      <c r="H24" s="1351"/>
      <c r="I24" s="1160"/>
      <c r="J24" s="1160"/>
      <c r="K24" s="1160"/>
      <c r="L24" s="1730"/>
      <c r="M24" s="1158"/>
    </row>
    <row r="25" spans="1:13" hidden="1" x14ac:dyDescent="0.3">
      <c r="A25" s="1157"/>
      <c r="B25" s="1731"/>
      <c r="C25" s="1459" t="str">
        <f>IF(CBRate="","",IF(G10="Yes","Next",""))</f>
        <v/>
      </c>
      <c r="D25" s="1343">
        <v>0</v>
      </c>
      <c r="E25" s="1351"/>
      <c r="F25" s="1351"/>
      <c r="G25" s="1351"/>
      <c r="H25" s="1351"/>
      <c r="I25" s="1160"/>
      <c r="J25" s="1160"/>
      <c r="K25" s="1160"/>
      <c r="L25" s="1730"/>
      <c r="M25" s="1158"/>
    </row>
    <row r="26" spans="1:13" hidden="1" x14ac:dyDescent="0.3">
      <c r="A26" s="1157"/>
      <c r="B26" s="1731"/>
      <c r="C26" s="1459" t="str">
        <f>IF(CBRate="","",IF(G10="Yes","Next",""))</f>
        <v/>
      </c>
      <c r="D26" s="1343">
        <v>0</v>
      </c>
      <c r="E26" s="1351"/>
      <c r="F26" s="1351"/>
      <c r="G26" s="1351"/>
      <c r="H26" s="1351"/>
      <c r="I26" s="1160"/>
      <c r="J26" s="1160"/>
      <c r="K26" s="1160"/>
      <c r="L26" s="1730"/>
      <c r="M26" s="1158"/>
    </row>
    <row r="27" spans="1:13" hidden="1" x14ac:dyDescent="0.3">
      <c r="A27" s="1157"/>
      <c r="B27" s="1731"/>
      <c r="C27" s="1460" t="str">
        <f>IF(CBRate="","",IF(G10="Yes","Over",""))</f>
        <v/>
      </c>
      <c r="D27" s="1343">
        <f>SUM(D23:D26)</f>
        <v>0</v>
      </c>
      <c r="E27" s="1351"/>
      <c r="F27" s="1351"/>
      <c r="G27" s="1351"/>
      <c r="H27" s="1351"/>
      <c r="I27" s="1160"/>
      <c r="J27" s="1160"/>
      <c r="K27" s="1160"/>
      <c r="L27" s="1730"/>
      <c r="M27" s="1158"/>
    </row>
    <row r="28" spans="1:13" hidden="1" x14ac:dyDescent="0.3">
      <c r="A28" s="1157"/>
      <c r="B28" s="1731"/>
      <c r="C28" s="1461" t="str">
        <f>IF(CBRate="","",IF(G10="Yes","Uniform Rate",""))</f>
        <v/>
      </c>
      <c r="D28" s="1343">
        <v>0</v>
      </c>
      <c r="E28" s="1351"/>
      <c r="F28" s="1351"/>
      <c r="G28" s="1351"/>
      <c r="H28" s="1351"/>
      <c r="I28" s="1160"/>
      <c r="J28" s="1160"/>
      <c r="K28" s="1160"/>
      <c r="L28" s="1730"/>
      <c r="M28" s="1158"/>
    </row>
    <row r="29" spans="1:13" hidden="1" x14ac:dyDescent="0.3">
      <c r="A29" s="1157"/>
      <c r="B29" s="1731"/>
      <c r="C29" s="1461" t="str">
        <f>IF(CBRate="","",IF(I15="Yes","Irrigation Rate",""))</f>
        <v/>
      </c>
      <c r="D29" s="1343">
        <v>0</v>
      </c>
      <c r="E29" s="1351"/>
      <c r="F29" s="1351"/>
      <c r="G29" s="1351"/>
      <c r="H29" s="1351"/>
      <c r="I29" s="1160"/>
      <c r="J29" s="1160"/>
      <c r="K29" s="1160"/>
      <c r="L29" s="1730"/>
      <c r="M29" s="1158"/>
    </row>
    <row r="30" spans="1:13" x14ac:dyDescent="0.3">
      <c r="A30" s="1157"/>
      <c r="B30" s="1731"/>
      <c r="C30" s="1160"/>
      <c r="D30" s="1160"/>
      <c r="E30" s="1160"/>
      <c r="F30" s="1160"/>
      <c r="G30" s="1160"/>
      <c r="H30" s="1160"/>
      <c r="I30" s="1160"/>
      <c r="J30" s="1160"/>
      <c r="K30" s="1160"/>
      <c r="L30" s="1730"/>
      <c r="M30" s="1158"/>
    </row>
    <row r="31" spans="1:13" ht="28.2" x14ac:dyDescent="0.3">
      <c r="A31" s="1157"/>
      <c r="B31" s="1731"/>
      <c r="C31" s="1160"/>
      <c r="D31" s="1169" t="s">
        <v>9</v>
      </c>
      <c r="E31" s="1520" t="s">
        <v>815</v>
      </c>
      <c r="F31" s="1169" t="s">
        <v>171</v>
      </c>
      <c r="G31" s="1521" t="s">
        <v>10</v>
      </c>
      <c r="H31" s="1522" t="s">
        <v>11</v>
      </c>
      <c r="I31" s="1520" t="s">
        <v>785</v>
      </c>
      <c r="J31" s="1162"/>
      <c r="K31" s="1160"/>
      <c r="L31" s="1730"/>
      <c r="M31" s="1158"/>
    </row>
    <row r="32" spans="1:13" x14ac:dyDescent="0.3">
      <c r="A32" s="1157"/>
      <c r="B32" s="1731"/>
      <c r="C32" s="1160"/>
      <c r="D32" s="1163" t="s">
        <v>173</v>
      </c>
      <c r="E32" s="1164" t="s">
        <v>173</v>
      </c>
      <c r="F32" s="1163" t="s">
        <v>173</v>
      </c>
      <c r="G32" s="1163" t="s">
        <v>173</v>
      </c>
      <c r="H32" s="1163" t="s">
        <v>173</v>
      </c>
      <c r="I32" s="1163" t="s">
        <v>173</v>
      </c>
      <c r="J32" s="1165" t="s">
        <v>172</v>
      </c>
      <c r="K32" s="1160"/>
      <c r="L32" s="1730"/>
      <c r="M32" s="1158"/>
    </row>
    <row r="33" spans="1:13" ht="15" thickBot="1" x14ac:dyDescent="0.35">
      <c r="A33" s="1157"/>
      <c r="B33" s="1731"/>
      <c r="C33" s="1160"/>
      <c r="D33" s="157"/>
      <c r="E33" s="157"/>
      <c r="F33" s="157"/>
      <c r="G33" s="157"/>
      <c r="H33" s="157"/>
      <c r="I33" s="157"/>
      <c r="J33" s="157"/>
      <c r="K33" s="1160"/>
      <c r="L33" s="1730"/>
      <c r="M33" s="1158"/>
    </row>
    <row r="34" spans="1:13" x14ac:dyDescent="0.3">
      <c r="A34" s="1157"/>
      <c r="B34" s="1731"/>
      <c r="C34" s="1468" t="str">
        <f>"First "&amp;TEXT(D18,"###,###,###")</f>
        <v>First 10,000</v>
      </c>
      <c r="D34" s="1469">
        <f>23287+91</f>
        <v>23378</v>
      </c>
      <c r="E34" s="1469">
        <f>330+120</f>
        <v>450</v>
      </c>
      <c r="F34" s="1469">
        <f>584+377</f>
        <v>961</v>
      </c>
      <c r="G34" s="1469">
        <f>12+84+120</f>
        <v>216</v>
      </c>
      <c r="H34" s="1469">
        <f>91+87+225+457</f>
        <v>860</v>
      </c>
      <c r="I34" s="2218">
        <v>0</v>
      </c>
      <c r="J34" s="1473">
        <f>SUM(D34:H34)</f>
        <v>25865</v>
      </c>
      <c r="K34" s="1160"/>
      <c r="L34" s="1730"/>
      <c r="M34" s="1158"/>
    </row>
    <row r="35" spans="1:13" x14ac:dyDescent="0.3">
      <c r="A35" s="1157"/>
      <c r="B35" s="1731"/>
      <c r="C35" s="1470" t="str">
        <f>IF(Block2=0,"","Next "&amp;TEXT(D19,"###,###,###"))</f>
        <v>Next 56,700</v>
      </c>
      <c r="D35" s="1173">
        <f>637+42</f>
        <v>679</v>
      </c>
      <c r="E35" s="1173">
        <f>472+378</f>
        <v>850</v>
      </c>
      <c r="F35" s="1173">
        <f>150+81</f>
        <v>231</v>
      </c>
      <c r="G35" s="1173">
        <f>75+642</f>
        <v>717</v>
      </c>
      <c r="H35" s="1173">
        <f>68+28+21+518</f>
        <v>635</v>
      </c>
      <c r="I35" s="2220">
        <v>0</v>
      </c>
      <c r="J35" s="1474">
        <f>SUM(D35:H35)</f>
        <v>3112</v>
      </c>
      <c r="K35" s="1160"/>
      <c r="L35" s="1730"/>
      <c r="M35" s="1158"/>
    </row>
    <row r="36" spans="1:13" x14ac:dyDescent="0.3">
      <c r="A36" s="1157"/>
      <c r="B36" s="1731"/>
      <c r="C36" s="1470" t="str">
        <f>IF(Block3=0,"","Next "&amp;TEXT(D20,"###,###,###"))</f>
        <v/>
      </c>
      <c r="D36" s="1173">
        <v>0</v>
      </c>
      <c r="E36" s="1173">
        <v>0</v>
      </c>
      <c r="F36" s="1173">
        <v>0</v>
      </c>
      <c r="G36" s="1173">
        <v>0</v>
      </c>
      <c r="H36" s="1173">
        <v>0</v>
      </c>
      <c r="I36" s="2220">
        <v>0</v>
      </c>
      <c r="J36" s="1474">
        <f>SUM(D36:H36)</f>
        <v>0</v>
      </c>
      <c r="K36" s="1160"/>
      <c r="L36" s="1730"/>
      <c r="M36" s="1158"/>
    </row>
    <row r="37" spans="1:13" x14ac:dyDescent="0.3">
      <c r="A37" s="1157"/>
      <c r="B37" s="1731"/>
      <c r="C37" s="1470" t="str">
        <f>IF(Block4=0,"","Next "&amp;TEXT(D21,"###,###,###"))</f>
        <v/>
      </c>
      <c r="D37" s="1173">
        <v>0</v>
      </c>
      <c r="E37" s="1173">
        <v>0</v>
      </c>
      <c r="F37" s="1173">
        <v>0</v>
      </c>
      <c r="G37" s="1173">
        <v>0</v>
      </c>
      <c r="H37" s="1173">
        <v>0</v>
      </c>
      <c r="I37" s="2220">
        <v>0</v>
      </c>
      <c r="J37" s="1474">
        <f>SUM(D37:H37)</f>
        <v>0</v>
      </c>
      <c r="K37" s="1160"/>
      <c r="L37" s="1730"/>
      <c r="M37" s="1158"/>
    </row>
    <row r="38" spans="1:13" ht="15" thickBot="1" x14ac:dyDescent="0.35">
      <c r="A38" s="1157"/>
      <c r="B38" s="1731"/>
      <c r="C38" s="1471" t="str">
        <f>"Over "&amp; TEXT(D22,"###,###,###")</f>
        <v>Over 66,700</v>
      </c>
      <c r="D38" s="1472">
        <v>0</v>
      </c>
      <c r="E38" s="1472">
        <v>117</v>
      </c>
      <c r="F38" s="1472">
        <v>0</v>
      </c>
      <c r="G38" s="1472">
        <v>1080</v>
      </c>
      <c r="H38" s="1472">
        <f>7+240</f>
        <v>247</v>
      </c>
      <c r="I38" s="2219">
        <v>0</v>
      </c>
      <c r="J38" s="1475">
        <f>SUM(D38:H38)</f>
        <v>1444</v>
      </c>
      <c r="K38" s="1160"/>
      <c r="L38" s="1722"/>
      <c r="M38" s="1157"/>
    </row>
    <row r="39" spans="1:13" hidden="1" x14ac:dyDescent="0.3">
      <c r="A39" s="1157"/>
      <c r="B39" s="1731"/>
      <c r="C39" s="1468" t="str">
        <f>IF(D23=0,"","First "&amp;TEXT(D23,"###,###,###"))</f>
        <v/>
      </c>
      <c r="D39" s="1478">
        <v>0</v>
      </c>
      <c r="E39" s="1486">
        <v>0</v>
      </c>
      <c r="F39" s="1486">
        <v>0</v>
      </c>
      <c r="G39" s="1486">
        <v>0</v>
      </c>
      <c r="H39" s="1486">
        <v>0</v>
      </c>
      <c r="I39" s="1482">
        <v>0</v>
      </c>
      <c r="J39" s="1473">
        <f>SUM(E39:H39)</f>
        <v>0</v>
      </c>
      <c r="K39" s="1160"/>
      <c r="L39" s="1722"/>
      <c r="M39" s="1157"/>
    </row>
    <row r="40" spans="1:13" hidden="1" x14ac:dyDescent="0.3">
      <c r="A40" s="1157"/>
      <c r="B40" s="1731"/>
      <c r="C40" s="1470" t="str">
        <f>IF(D24=0,"","Next "&amp;TEXT(D24,"###,###,###"))</f>
        <v/>
      </c>
      <c r="D40" s="1479">
        <v>0</v>
      </c>
      <c r="E40" s="1487">
        <v>0</v>
      </c>
      <c r="F40" s="1487">
        <v>0</v>
      </c>
      <c r="G40" s="1487">
        <v>0</v>
      </c>
      <c r="H40" s="1487">
        <v>0</v>
      </c>
      <c r="I40" s="1483">
        <v>0</v>
      </c>
      <c r="J40" s="1474">
        <f>SUM(E40:H40)</f>
        <v>0</v>
      </c>
      <c r="K40" s="1160"/>
      <c r="L40" s="1722"/>
      <c r="M40" s="1157"/>
    </row>
    <row r="41" spans="1:13" hidden="1" x14ac:dyDescent="0.3">
      <c r="A41" s="1157"/>
      <c r="B41" s="1731"/>
      <c r="C41" s="1470" t="str">
        <f>IF(D25=0,"","Next "&amp;TEXT(D25,"###,###,###"))</f>
        <v/>
      </c>
      <c r="D41" s="1479">
        <v>0</v>
      </c>
      <c r="E41" s="1487">
        <v>0</v>
      </c>
      <c r="F41" s="1487">
        <v>0</v>
      </c>
      <c r="G41" s="1487">
        <v>0</v>
      </c>
      <c r="H41" s="1487">
        <v>0</v>
      </c>
      <c r="I41" s="1483">
        <v>0</v>
      </c>
      <c r="J41" s="1474">
        <f>SUM(E41:H41)</f>
        <v>0</v>
      </c>
      <c r="K41" s="1160"/>
      <c r="L41" s="1722"/>
      <c r="M41" s="1157"/>
    </row>
    <row r="42" spans="1:13" hidden="1" x14ac:dyDescent="0.3">
      <c r="A42" s="1157"/>
      <c r="B42" s="1731"/>
      <c r="C42" s="1470" t="str">
        <f>IF(D26=0,"","Next "&amp;TEXT(D26,"###,###,###"))</f>
        <v/>
      </c>
      <c r="D42" s="1479">
        <v>0</v>
      </c>
      <c r="E42" s="1487">
        <v>0</v>
      </c>
      <c r="F42" s="1487">
        <v>0</v>
      </c>
      <c r="G42" s="1487">
        <v>0</v>
      </c>
      <c r="H42" s="1487">
        <v>0</v>
      </c>
      <c r="I42" s="1483">
        <v>0</v>
      </c>
      <c r="J42" s="1474">
        <f>SUM(E42:H42)</f>
        <v>0</v>
      </c>
      <c r="K42" s="1160"/>
      <c r="L42" s="1722"/>
      <c r="M42" s="1157"/>
    </row>
    <row r="43" spans="1:13" ht="15" hidden="1" thickBot="1" x14ac:dyDescent="0.35">
      <c r="A43" s="1157"/>
      <c r="B43" s="1731"/>
      <c r="C43" s="1471" t="str">
        <f>IF(D27=0,"","Over "&amp; TEXT(D27,"###,###,###"))</f>
        <v/>
      </c>
      <c r="D43" s="1480">
        <v>0</v>
      </c>
      <c r="E43" s="1488">
        <v>0</v>
      </c>
      <c r="F43" s="1488">
        <v>0</v>
      </c>
      <c r="G43" s="1488">
        <v>0</v>
      </c>
      <c r="H43" s="1488">
        <v>0</v>
      </c>
      <c r="I43" s="1484">
        <v>0</v>
      </c>
      <c r="J43" s="1475">
        <f>SUM(E43:H43)</f>
        <v>0</v>
      </c>
      <c r="K43" s="1160"/>
      <c r="L43" s="1722"/>
      <c r="M43" s="1157"/>
    </row>
    <row r="44" spans="1:13" ht="15" hidden="1" thickBot="1" x14ac:dyDescent="0.35">
      <c r="A44" s="1157"/>
      <c r="B44" s="1731"/>
      <c r="C44" s="1467" t="str">
        <f>IF(CBRate="","",IF(G10="Yes","Uniform Rate",""))</f>
        <v/>
      </c>
      <c r="D44" s="1512">
        <v>0</v>
      </c>
      <c r="E44" s="1512">
        <v>0</v>
      </c>
      <c r="F44" s="1512">
        <v>0</v>
      </c>
      <c r="G44" s="1512">
        <v>0</v>
      </c>
      <c r="H44" s="1512">
        <v>0</v>
      </c>
      <c r="I44" s="1485">
        <v>0</v>
      </c>
      <c r="J44" s="1476">
        <f>SUM(D44:H44)</f>
        <v>0</v>
      </c>
      <c r="K44" s="1160"/>
      <c r="L44" s="1722"/>
      <c r="M44" s="1157"/>
    </row>
    <row r="45" spans="1:13" ht="15" hidden="1" thickBot="1" x14ac:dyDescent="0.35">
      <c r="A45" s="1157"/>
      <c r="B45" s="1731"/>
      <c r="C45" s="1467" t="str">
        <f>IF(CBRate="","",IF(I15="Yes","Irrigation Rate",""))</f>
        <v/>
      </c>
      <c r="D45" s="1481">
        <v>0</v>
      </c>
      <c r="E45" s="1481">
        <v>0</v>
      </c>
      <c r="F45" s="1481">
        <v>0</v>
      </c>
      <c r="G45" s="1481">
        <v>0</v>
      </c>
      <c r="H45" s="1481">
        <v>0</v>
      </c>
      <c r="I45" s="1519">
        <v>0</v>
      </c>
      <c r="J45" s="1476">
        <f>I45</f>
        <v>0</v>
      </c>
      <c r="K45" s="1160"/>
      <c r="L45" s="1722"/>
      <c r="M45" s="1157"/>
    </row>
    <row r="46" spans="1:13" ht="15" thickBot="1" x14ac:dyDescent="0.35">
      <c r="A46" s="1157"/>
      <c r="B46" s="1732"/>
      <c r="C46" s="1171"/>
      <c r="D46" s="1466"/>
      <c r="E46" s="1466"/>
      <c r="F46" s="1466"/>
      <c r="G46" s="1466"/>
      <c r="H46" s="1466"/>
      <c r="I46" s="1466"/>
      <c r="J46" s="1466"/>
      <c r="K46" s="1171"/>
      <c r="L46" s="1722"/>
      <c r="M46" s="1157"/>
    </row>
    <row r="47" spans="1:13" x14ac:dyDescent="0.3">
      <c r="A47" s="1157"/>
      <c r="B47" s="1732"/>
      <c r="C47" s="1161" t="s">
        <v>838</v>
      </c>
      <c r="D47" s="1462">
        <f>SUM(D34:D44)</f>
        <v>24057</v>
      </c>
      <c r="E47" s="1463">
        <f>SUM(E34:E44)</f>
        <v>1417</v>
      </c>
      <c r="F47" s="1463">
        <f>SUM(F34:F44)</f>
        <v>1192</v>
      </c>
      <c r="G47" s="1463">
        <f>SUM(G34:G44)</f>
        <v>2013</v>
      </c>
      <c r="H47" s="1463">
        <f>SUM(H34:H44)</f>
        <v>1742</v>
      </c>
      <c r="I47" s="1463">
        <f>I45</f>
        <v>0</v>
      </c>
      <c r="J47" s="1473">
        <f>SUM(J34:J45)</f>
        <v>30421</v>
      </c>
      <c r="K47" s="1171"/>
      <c r="L47" s="1722"/>
      <c r="M47" s="1157"/>
    </row>
    <row r="48" spans="1:13" ht="15" thickBot="1" x14ac:dyDescent="0.35">
      <c r="A48" s="1157"/>
      <c r="B48" s="1732"/>
      <c r="C48" s="1161" t="s">
        <v>839</v>
      </c>
      <c r="D48" s="1464">
        <f>SUM(PRODUCT(D34,$E$18),PRODUCT(D35,$E$19),PRODUCT(D36,$E$20),PRODUCT(D37,$E$21),PRODUCT(D38,$E$22),PRODUCT(D39,$E$23),PRODUCT(D40,$E$24),PRODUCT(D41,$E$25),PRODUCT(D42,$E$26),PRODUCT(D43,$E$27),PRODUCT(D44,$E$28))</f>
        <v>124257.36</v>
      </c>
      <c r="E48" s="1465">
        <f>IF(I14="Yes",SUM(PRODUCT(E34,$H$18),PRODUCT(E35,$H$19),PRODUCT(E36,$H$20),PRODUCT(E37,$H$21),PRODUCT(E38,$H$22),PRODUCT(E39,$H$23),PRODUCT(E40,$H$24),PRODUCT(E41,$H$25),PRODUCT(E42,$H$26),PRODUCT(E43,$H$27),PRODUCT(E44,$H$28)),SUM(PRODUCT(E34,$E$18),PRODUCT(E35,$E$19),PRODUCT(E36,$E$20),PRODUCT(E37,$E$21),PRODUCT(E38,$E$22)))</f>
        <v>5766.65</v>
      </c>
      <c r="F48" s="1465">
        <f>IF(F14="Yes",SUM(PRODUCT(F34,$F$18),PRODUCT(F35,$F$19),PRODUCT(F36,$F$20),PRODUCT(F37,$F$21),PRODUCT(F38,$F$22),PRODUCT(F39,$F$23),PRODUCT(F40,$F$24),PRODUCT(F41,$F$25),PRODUCT(F42,$F$26),PRODUCT(F43,$F$27),PRODUCT(F44,$F$28)),SUM(PRODUCT(F34,$E$18),PRODUCT(F35,$E$19),PRODUCT(F36,$E$20),PRODUCT(F37,$E$21),PRODUCT(F38,$E$22)))</f>
        <v>5843.0300000000007</v>
      </c>
      <c r="G48" s="1465">
        <f>IF(F14="Yes",SUM(PRODUCT(G34,$F$18),PRODUCT(G35,$F$19),PRODUCT(G36,$F$20),PRODUCT(G37,$F$21),PRODUCT(G38,$F$22),PRODUCT(G39,$F$23),PRODUCT(G40,$F$24),PRODUCT(G41,$F$25),PRODUCT(G42,$F$26),PRODUCT(G43,$F$27),PRODUCT(G44,$F$28)),SUM(PRODUCT(G34,$E$18),PRODUCT(G35,$E$19),PRODUCT(G36,$E$20),PRODUCT(G37,$E$21),PRODUCT(G38,$E$22)))</f>
        <v>6906.9</v>
      </c>
      <c r="H48" s="1465">
        <f>IF(F14="Yes",SUM(PRODUCT(H34,$F$18),PRODUCT(H35,$F$19),PRODUCT(H36,$F$20),PRODUCT(H37,$F$21),PRODUCT(H38,$F$22),PRODUCT(H39,$F$23),PRODUCT(H40,$F$24),PRODUCT(H41,$F$25),PRODUCT(H42,$F$26),PRODUCT(H43,$F$27),PRODUCT(H44,$F$28)),SUM(PRODUCT(H34,$E$18),PRODUCT(H35,$E$19),PRODUCT(H36,$E$20),PRODUCT(H37,$E$21),PRODUCT(H38,$E$22)))</f>
        <v>7507.9500000000007</v>
      </c>
      <c r="I48" s="1465">
        <f>IF(I15="Yes",SUM(PRODUCT(I34,$G$18),PRODUCT(I35,$G$19),PRODUCT(I36,$G$20),PRODUCT(I37,$G$21),PRODUCT(I38,$G$22),PRODUCT(I39,$G$23),PRODUCT(I40,$G$24),PRODUCT(I41,$G$25),PRODUCT(I42,$G$26),PRODUCT(I43,$G$27),PRODUCT(I44,$G$28),PRODUCT(I45,$G$29)),SUM(PRODUCT(I34,$E$18),PRODUCT(I35,$E$19),PRODUCT(I36,$E$20),PRODUCT(I37,$E$21),PRODUCT(I38,$E$22)))</f>
        <v>0</v>
      </c>
      <c r="J48" s="1477">
        <f>SUM(D48:I48)</f>
        <v>150281.89000000001</v>
      </c>
      <c r="K48" s="1171"/>
      <c r="L48" s="1722"/>
      <c r="M48" s="1157"/>
    </row>
    <row r="49" spans="1:13" x14ac:dyDescent="0.3">
      <c r="A49" s="1157"/>
      <c r="B49" s="1732"/>
      <c r="C49" s="1171"/>
      <c r="D49" s="1171"/>
      <c r="E49" s="1171"/>
      <c r="F49" s="1171"/>
      <c r="G49" s="1171"/>
      <c r="H49" s="1171"/>
      <c r="I49" s="1171"/>
      <c r="J49" s="1171"/>
      <c r="K49" s="1171"/>
      <c r="L49" s="1722"/>
      <c r="M49" s="1157"/>
    </row>
    <row r="50" spans="1:13" x14ac:dyDescent="0.3">
      <c r="A50" s="1157"/>
      <c r="B50" s="1733"/>
      <c r="C50" s="1724"/>
      <c r="D50" s="1724"/>
      <c r="E50" s="1724"/>
      <c r="F50" s="1724"/>
      <c r="G50" s="1724"/>
      <c r="H50" s="1724"/>
      <c r="I50" s="1724"/>
      <c r="J50" s="1724"/>
      <c r="K50" s="1724"/>
      <c r="L50" s="1725"/>
      <c r="M50" s="1157"/>
    </row>
    <row r="51" spans="1:13" ht="22.5" customHeight="1" x14ac:dyDescent="0.3">
      <c r="A51" s="1157"/>
      <c r="B51" s="1157"/>
      <c r="C51" s="1157"/>
      <c r="D51" s="1157"/>
      <c r="E51" s="1157"/>
      <c r="F51" s="1157"/>
      <c r="G51" s="1157"/>
      <c r="H51" s="1157"/>
      <c r="I51" s="1157"/>
      <c r="J51" s="1157"/>
      <c r="K51" s="1157"/>
      <c r="L51" s="1157"/>
      <c r="M51" s="1157"/>
    </row>
    <row r="52" spans="1:13" ht="15.45" customHeight="1" x14ac:dyDescent="0.3">
      <c r="A52" s="1157"/>
      <c r="B52" s="1711"/>
      <c r="C52" s="2335" t="s">
        <v>1232</v>
      </c>
      <c r="D52" s="2335"/>
      <c r="E52" s="2335"/>
      <c r="F52" s="2335"/>
      <c r="G52" s="2335"/>
      <c r="H52" s="2335"/>
      <c r="I52" s="2335"/>
      <c r="J52" s="2335"/>
      <c r="K52" s="2335"/>
      <c r="L52" s="1721"/>
      <c r="M52" s="1157"/>
    </row>
    <row r="53" spans="1:13" ht="15.45" customHeight="1" x14ac:dyDescent="0.3">
      <c r="A53" s="1157"/>
      <c r="B53" s="1713"/>
      <c r="C53" s="2336"/>
      <c r="D53" s="2336"/>
      <c r="E53" s="2336"/>
      <c r="F53" s="2336"/>
      <c r="G53" s="2336"/>
      <c r="H53" s="2336"/>
      <c r="I53" s="2336"/>
      <c r="J53" s="2336"/>
      <c r="K53" s="2336"/>
      <c r="L53" s="1722"/>
      <c r="M53" s="1157"/>
    </row>
    <row r="54" spans="1:13" ht="15.45" customHeight="1" x14ac:dyDescent="0.3">
      <c r="A54" s="1157"/>
      <c r="B54" s="1713"/>
      <c r="C54" s="2337"/>
      <c r="D54" s="2338"/>
      <c r="E54" s="2338"/>
      <c r="F54" s="2338"/>
      <c r="G54" s="2338"/>
      <c r="H54" s="2338"/>
      <c r="I54" s="2338"/>
      <c r="J54" s="2338"/>
      <c r="K54" s="2339"/>
      <c r="L54" s="1722"/>
      <c r="M54" s="1157"/>
    </row>
    <row r="55" spans="1:13" ht="15.45" customHeight="1" x14ac:dyDescent="0.3">
      <c r="A55" s="1157"/>
      <c r="B55" s="1713"/>
      <c r="C55" s="2340"/>
      <c r="D55" s="2341"/>
      <c r="E55" s="2341"/>
      <c r="F55" s="2341"/>
      <c r="G55" s="2341"/>
      <c r="H55" s="2341"/>
      <c r="I55" s="2341"/>
      <c r="J55" s="2341"/>
      <c r="K55" s="2342"/>
      <c r="L55" s="1722"/>
      <c r="M55" s="1157"/>
    </row>
    <row r="56" spans="1:13" ht="15.45" customHeight="1" x14ac:dyDescent="0.3">
      <c r="A56" s="1157"/>
      <c r="B56" s="1713"/>
      <c r="C56" s="2340"/>
      <c r="D56" s="2341"/>
      <c r="E56" s="2341"/>
      <c r="F56" s="2341"/>
      <c r="G56" s="2341"/>
      <c r="H56" s="2341"/>
      <c r="I56" s="2341"/>
      <c r="J56" s="2341"/>
      <c r="K56" s="2342"/>
      <c r="L56" s="1722"/>
      <c r="M56" s="1157"/>
    </row>
    <row r="57" spans="1:13" ht="15.45" customHeight="1" x14ac:dyDescent="0.3">
      <c r="A57" s="1157"/>
      <c r="B57" s="1713"/>
      <c r="C57" s="2340"/>
      <c r="D57" s="2341"/>
      <c r="E57" s="2341"/>
      <c r="F57" s="2341"/>
      <c r="G57" s="2341"/>
      <c r="H57" s="2341"/>
      <c r="I57" s="2341"/>
      <c r="J57" s="2341"/>
      <c r="K57" s="2342"/>
      <c r="L57" s="1722"/>
      <c r="M57" s="1157"/>
    </row>
    <row r="58" spans="1:13" ht="15.45" customHeight="1" x14ac:dyDescent="0.3">
      <c r="A58" s="1157"/>
      <c r="B58" s="1713"/>
      <c r="C58" s="2340"/>
      <c r="D58" s="2341"/>
      <c r="E58" s="2341"/>
      <c r="F58" s="2341"/>
      <c r="G58" s="2341"/>
      <c r="H58" s="2341"/>
      <c r="I58" s="2341"/>
      <c r="J58" s="2341"/>
      <c r="K58" s="2342"/>
      <c r="L58" s="1722"/>
      <c r="M58" s="1157"/>
    </row>
    <row r="59" spans="1:13" ht="15.45" customHeight="1" x14ac:dyDescent="0.3">
      <c r="A59" s="1157"/>
      <c r="B59" s="1713"/>
      <c r="C59" s="2343"/>
      <c r="D59" s="2344"/>
      <c r="E59" s="2344"/>
      <c r="F59" s="2344"/>
      <c r="G59" s="2344"/>
      <c r="H59" s="2344"/>
      <c r="I59" s="2344"/>
      <c r="J59" s="2344"/>
      <c r="K59" s="2345"/>
      <c r="L59" s="1722"/>
      <c r="M59" s="1157"/>
    </row>
    <row r="60" spans="1:13" ht="15.6" x14ac:dyDescent="0.3">
      <c r="A60" s="1157"/>
      <c r="B60" s="1715"/>
      <c r="C60" s="1716"/>
      <c r="D60" s="1716"/>
      <c r="E60" s="1716"/>
      <c r="F60" s="1716"/>
      <c r="G60" s="1716"/>
      <c r="H60" s="1716"/>
      <c r="I60" s="1716"/>
      <c r="J60" s="1723"/>
      <c r="K60" s="1724"/>
      <c r="L60" s="1725"/>
      <c r="M60" s="1157"/>
    </row>
    <row r="61" spans="1:13" ht="23.25" customHeight="1" x14ac:dyDescent="0.3">
      <c r="A61" s="1157"/>
      <c r="B61" s="1157"/>
      <c r="C61" s="1157"/>
      <c r="D61" s="1157"/>
      <c r="E61" s="1157"/>
      <c r="F61" s="1157"/>
      <c r="G61" s="1157"/>
      <c r="H61" s="1157"/>
      <c r="I61" s="1157"/>
      <c r="J61" s="1157"/>
      <c r="K61" s="1157"/>
      <c r="L61" s="1157"/>
      <c r="M61" s="1157"/>
    </row>
    <row r="62" spans="1:13" s="1747" customFormat="1" x14ac:dyDescent="0.3"/>
    <row r="63" spans="1:13" s="1747" customFormat="1" x14ac:dyDescent="0.3"/>
    <row r="64" spans="1:13" s="1747" customFormat="1" x14ac:dyDescent="0.3"/>
    <row r="65" spans="2:10" s="1747" customFormat="1" x14ac:dyDescent="0.3"/>
    <row r="66" spans="2:10" s="1718" customFormat="1" x14ac:dyDescent="0.3"/>
    <row r="67" spans="2:10" s="1718" customFormat="1" x14ac:dyDescent="0.3"/>
    <row r="68" spans="2:10" s="1718" customFormat="1" x14ac:dyDescent="0.3"/>
    <row r="69" spans="2:10" s="1718" customFormat="1" x14ac:dyDescent="0.3"/>
    <row r="70" spans="2:10" s="1718" customFormat="1" x14ac:dyDescent="0.3"/>
    <row r="71" spans="2:10" s="1718" customFormat="1" x14ac:dyDescent="0.3"/>
    <row r="72" spans="2:10" s="1718" customFormat="1" x14ac:dyDescent="0.3"/>
    <row r="73" spans="2:10" s="1718" customFormat="1" x14ac:dyDescent="0.3"/>
    <row r="74" spans="2:10" s="1718" customFormat="1" x14ac:dyDescent="0.3"/>
    <row r="75" spans="2:10" s="1718" customFormat="1" x14ac:dyDescent="0.3"/>
    <row r="76" spans="2:10" s="1718" customFormat="1" x14ac:dyDescent="0.3"/>
    <row r="77" spans="2:10" s="1718" customFormat="1" x14ac:dyDescent="0.3"/>
    <row r="78" spans="2:10" s="1718" customFormat="1" x14ac:dyDescent="0.3"/>
    <row r="79" spans="2:10" s="1718" customFormat="1" x14ac:dyDescent="0.3"/>
    <row r="80" spans="2:10" x14ac:dyDescent="0.3">
      <c r="B80" s="1718"/>
      <c r="C80" s="1718"/>
      <c r="D80" s="1718"/>
      <c r="E80" s="1718"/>
      <c r="F80" s="1718"/>
      <c r="G80" s="1718"/>
      <c r="H80" s="1718"/>
      <c r="I80" s="1718"/>
      <c r="J80" s="1718"/>
    </row>
  </sheetData>
  <sheetProtection password="E593" sheet="1" objects="1" scenarios="1"/>
  <customSheetViews>
    <customSheetView guid="{B63065A1-7838-417A-8679-08A8A2B79CD8}" scale="86" showPageBreaks="1" showGridLines="0" fitToPage="1" printArea="1" topLeftCell="A11">
      <selection activeCell="I3" sqref="I3"/>
      <pageMargins left="0.7" right="0.7" top="0.75" bottom="0.75" header="0.3" footer="0.3"/>
      <pageSetup scale="70" orientation="landscape" blackAndWhite="1" r:id="rId1"/>
    </customSheetView>
  </customSheetViews>
  <mergeCells count="6">
    <mergeCell ref="J8:K8"/>
    <mergeCell ref="H16:H17"/>
    <mergeCell ref="C54:K59"/>
    <mergeCell ref="C52:K53"/>
    <mergeCell ref="E2:I2"/>
    <mergeCell ref="E3:I3"/>
  </mergeCells>
  <conditionalFormatting sqref="F18:F28">
    <cfRule type="expression" dxfId="58" priority="21" stopIfTrue="1">
      <formula>$F$14="Yes"</formula>
    </cfRule>
  </conditionalFormatting>
  <conditionalFormatting sqref="F14">
    <cfRule type="expression" dxfId="57" priority="33" stopIfTrue="1">
      <formula>$G$10="Yes"</formula>
    </cfRule>
  </conditionalFormatting>
  <conditionalFormatting sqref="D18:D29">
    <cfRule type="expression" dxfId="56" priority="34" stopIfTrue="1">
      <formula>$G$10&lt;&gt;""</formula>
    </cfRule>
  </conditionalFormatting>
  <conditionalFormatting sqref="E18:E28">
    <cfRule type="expression" dxfId="55" priority="35" stopIfTrue="1">
      <formula>$G$10&lt;&gt;""</formula>
    </cfRule>
  </conditionalFormatting>
  <conditionalFormatting sqref="I14">
    <cfRule type="expression" dxfId="54" priority="18" stopIfTrue="1">
      <formula>$G$10="Yes"</formula>
    </cfRule>
  </conditionalFormatting>
  <conditionalFormatting sqref="I15">
    <cfRule type="expression" dxfId="53" priority="17" stopIfTrue="1">
      <formula>$G$10="Yes"</formula>
    </cfRule>
  </conditionalFormatting>
  <conditionalFormatting sqref="G18:G29">
    <cfRule type="expression" dxfId="52" priority="16" stopIfTrue="1">
      <formula>$I$15="Yes"</formula>
    </cfRule>
  </conditionalFormatting>
  <conditionalFormatting sqref="H18:H28">
    <cfRule type="expression" dxfId="51" priority="15" stopIfTrue="1">
      <formula>$I$14="Yes"</formula>
    </cfRule>
  </conditionalFormatting>
  <conditionalFormatting sqref="D36:H36">
    <cfRule type="expression" dxfId="50" priority="14" stopIfTrue="1">
      <formula>$D$20=0</formula>
    </cfRule>
  </conditionalFormatting>
  <conditionalFormatting sqref="D37:H37">
    <cfRule type="expression" dxfId="49" priority="13" stopIfTrue="1">
      <formula>$D$21=0</formula>
    </cfRule>
  </conditionalFormatting>
  <conditionalFormatting sqref="D35:H35">
    <cfRule type="expression" dxfId="48" priority="12" stopIfTrue="1">
      <formula>$D$19=0</formula>
    </cfRule>
  </conditionalFormatting>
  <conditionalFormatting sqref="E39:H39">
    <cfRule type="expression" dxfId="47" priority="11" stopIfTrue="1">
      <formula>$D$23=0</formula>
    </cfRule>
  </conditionalFormatting>
  <conditionalFormatting sqref="E40:H40">
    <cfRule type="expression" dxfId="46" priority="10" stopIfTrue="1">
      <formula>$D$24=0</formula>
    </cfRule>
  </conditionalFormatting>
  <conditionalFormatting sqref="E41:H41">
    <cfRule type="expression" dxfId="45" priority="9" stopIfTrue="1">
      <formula>$D$25=0</formula>
    </cfRule>
  </conditionalFormatting>
  <conditionalFormatting sqref="E42:H42">
    <cfRule type="expression" dxfId="44" priority="8" stopIfTrue="1">
      <formula>$D$26=0</formula>
    </cfRule>
  </conditionalFormatting>
  <conditionalFormatting sqref="E43:H43">
    <cfRule type="expression" dxfId="43" priority="7" stopIfTrue="1">
      <formula>$D$27=0</formula>
    </cfRule>
  </conditionalFormatting>
  <conditionalFormatting sqref="D44:H44">
    <cfRule type="expression" dxfId="42" priority="6" stopIfTrue="1">
      <formula>$D$28=0</formula>
    </cfRule>
  </conditionalFormatting>
  <conditionalFormatting sqref="I45">
    <cfRule type="expression" dxfId="41" priority="5" stopIfTrue="1">
      <formula>$G$29=0</formula>
    </cfRule>
  </conditionalFormatting>
  <conditionalFormatting sqref="F14 I14:I15">
    <cfRule type="expression" dxfId="40" priority="4" stopIfTrue="1">
      <formula>$G$10="No"</formula>
    </cfRule>
  </conditionalFormatting>
  <conditionalFormatting sqref="F18:H22">
    <cfRule type="expression" dxfId="39" priority="1" stopIfTrue="1">
      <formula>$G$10 = "No"</formula>
    </cfRule>
  </conditionalFormatting>
  <dataValidations count="2">
    <dataValidation type="list" allowBlank="1" showInputMessage="1" showErrorMessage="1" sqref="G10 I14:I15 F14">
      <formula1>"Yes,No"</formula1>
    </dataValidation>
    <dataValidation allowBlank="1" showInputMessage="1" showErrorMessage="1" prompt="Enter mm/dd/yyyy" sqref="J8:J9"/>
  </dataValidations>
  <pageMargins left="0.7" right="0.7" top="0.75" bottom="0.75" header="0.3" footer="0.3"/>
  <pageSetup scale="70" orientation="landscape" blackAndWhite="1" r:id="rId2"/>
  <ignoredErrors>
    <ignoredError sqref="J42:J44 J40:J41 J35:J39" formulaRange="1"/>
  </ignoredErrors>
  <drawing r:id="rId3"/>
  <legacyDrawing r:id="rId4"/>
  <mc:AlternateContent xmlns:mc="http://schemas.openxmlformats.org/markup-compatibility/2006">
    <mc:Choice Requires="x14">
      <controls>
        <mc:AlternateContent xmlns:mc="http://schemas.openxmlformats.org/markup-compatibility/2006">
          <mc:Choice Requires="x14">
            <control shapeId="136193" r:id="rId5" name="Button 1">
              <controlPr defaultSize="0" print="0" autoFill="0" autoPict="0" macro="[0]!BackMain">
                <anchor moveWithCells="1" sizeWithCells="1">
                  <from>
                    <xdr:col>1</xdr:col>
                    <xdr:colOff>7620</xdr:colOff>
                    <xdr:row>0</xdr:row>
                    <xdr:rowOff>137160</xdr:rowOff>
                  </from>
                  <to>
                    <xdr:col>2</xdr:col>
                    <xdr:colOff>266700</xdr:colOff>
                    <xdr:row>0</xdr:row>
                    <xdr:rowOff>518160</xdr:rowOff>
                  </to>
                </anchor>
              </controlPr>
            </control>
          </mc:Choice>
        </mc:AlternateContent>
        <mc:AlternateContent xmlns:mc="http://schemas.openxmlformats.org/markup-compatibility/2006">
          <mc:Choice Requires="x14">
            <control shapeId="136204" r:id="rId6" name="Button 12">
              <controlPr defaultSize="0" print="0" autoFill="0" autoPict="0" macro="[0]!PrintAttach2A">
                <anchor moveWithCells="1" sizeWithCells="1">
                  <from>
                    <xdr:col>9</xdr:col>
                    <xdr:colOff>739140</xdr:colOff>
                    <xdr:row>0</xdr:row>
                    <xdr:rowOff>144780</xdr:rowOff>
                  </from>
                  <to>
                    <xdr:col>12</xdr:col>
                    <xdr:colOff>22860</xdr:colOff>
                    <xdr:row>0</xdr:row>
                    <xdr:rowOff>457200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139</vt:i4>
      </vt:variant>
    </vt:vector>
  </HeadingPairs>
  <TitlesOfParts>
    <vt:vector size="179" baseType="lpstr">
      <vt:lpstr>Start</vt:lpstr>
      <vt:lpstr>Data</vt:lpstr>
      <vt:lpstr>Main_Menu</vt:lpstr>
      <vt:lpstr>Instructions</vt:lpstr>
      <vt:lpstr>Contact_Info</vt:lpstr>
      <vt:lpstr>Ratemaking Goals</vt:lpstr>
      <vt:lpstr>Hearing</vt:lpstr>
      <vt:lpstr>Attach1</vt:lpstr>
      <vt:lpstr>Attach2A</vt:lpstr>
      <vt:lpstr>Attach2B</vt:lpstr>
      <vt:lpstr>Attach2C</vt:lpstr>
      <vt:lpstr>Attach3A</vt:lpstr>
      <vt:lpstr>Attach3B</vt:lpstr>
      <vt:lpstr>Attach3W</vt:lpstr>
      <vt:lpstr>Attach4</vt:lpstr>
      <vt:lpstr>Attach5</vt:lpstr>
      <vt:lpstr>Attach6</vt:lpstr>
      <vt:lpstr>Attach7</vt:lpstr>
      <vt:lpstr>Attach8</vt:lpstr>
      <vt:lpstr>Attach9</vt:lpstr>
      <vt:lpstr>Attach10_AB</vt:lpstr>
      <vt:lpstr>Attach10_C</vt:lpstr>
      <vt:lpstr>Attach10_D</vt:lpstr>
      <vt:lpstr>Attach11</vt:lpstr>
      <vt:lpstr>Attach11a</vt:lpstr>
      <vt:lpstr>Attach12</vt:lpstr>
      <vt:lpstr>Attach13</vt:lpstr>
      <vt:lpstr>Attach14</vt:lpstr>
      <vt:lpstr>Attach15</vt:lpstr>
      <vt:lpstr>Attach16</vt:lpstr>
      <vt:lpstr>Attach17</vt:lpstr>
      <vt:lpstr>Attach18</vt:lpstr>
      <vt:lpstr>Attach19</vt:lpstr>
      <vt:lpstr>Attach19a</vt:lpstr>
      <vt:lpstr>Attach19b</vt:lpstr>
      <vt:lpstr>Attach20</vt:lpstr>
      <vt:lpstr>Attach21</vt:lpstr>
      <vt:lpstr>Attach22</vt:lpstr>
      <vt:lpstr>Edit_Checks</vt:lpstr>
      <vt:lpstr>Attach23</vt:lpstr>
      <vt:lpstr>Attach2B!ActualDate</vt:lpstr>
      <vt:lpstr>BillingPeriods</vt:lpstr>
      <vt:lpstr>Block1</vt:lpstr>
      <vt:lpstr>Block2</vt:lpstr>
      <vt:lpstr>Block3</vt:lpstr>
      <vt:lpstr>Block4</vt:lpstr>
      <vt:lpstr>Block5</vt:lpstr>
      <vt:lpstr>CBRate</vt:lpstr>
      <vt:lpstr>Class</vt:lpstr>
      <vt:lpstr>Attach2B!CommMeters</vt:lpstr>
      <vt:lpstr>Attach3B!CommMetersTY</vt:lpstr>
      <vt:lpstr>CommUnits</vt:lpstr>
      <vt:lpstr>CommUnitsTY</vt:lpstr>
      <vt:lpstr>CommVolRates</vt:lpstr>
      <vt:lpstr>Conservation</vt:lpstr>
      <vt:lpstr>Depreciation1</vt:lpstr>
      <vt:lpstr>Depreciation2</vt:lpstr>
      <vt:lpstr>Depreciation3</vt:lpstr>
      <vt:lpstr>Depreciation4</vt:lpstr>
      <vt:lpstr>Depreciation5</vt:lpstr>
      <vt:lpstr>Attach2B!IndMeters</vt:lpstr>
      <vt:lpstr>Attach3B!IndMetersTY</vt:lpstr>
      <vt:lpstr>IndUnits</vt:lpstr>
      <vt:lpstr>IndUnitsTY</vt:lpstr>
      <vt:lpstr>IrrigationRate</vt:lpstr>
      <vt:lpstr>Attach2B!IrrMeters</vt:lpstr>
      <vt:lpstr>Attach3B!IrrMetersTY</vt:lpstr>
      <vt:lpstr>IrrRates</vt:lpstr>
      <vt:lpstr>IrrUnits</vt:lpstr>
      <vt:lpstr>IrrUnitsTY</vt:lpstr>
      <vt:lpstr>IrrVolRates</vt:lpstr>
      <vt:lpstr>Measurement</vt:lpstr>
      <vt:lpstr>MeterRates</vt:lpstr>
      <vt:lpstr>Attach2B!MFMeters</vt:lpstr>
      <vt:lpstr>Attach3B!MFMetersTY</vt:lpstr>
      <vt:lpstr>MFRates</vt:lpstr>
      <vt:lpstr>MFUnits</vt:lpstr>
      <vt:lpstr>MFUnitsTY</vt:lpstr>
      <vt:lpstr>MFVolRates</vt:lpstr>
      <vt:lpstr>MissedAppt</vt:lpstr>
      <vt:lpstr>MuniPFP</vt:lpstr>
      <vt:lpstr>NIRB</vt:lpstr>
      <vt:lpstr>Note1</vt:lpstr>
      <vt:lpstr>Note10_AB</vt:lpstr>
      <vt:lpstr>Note10_C</vt:lpstr>
      <vt:lpstr>Note10_D</vt:lpstr>
      <vt:lpstr>Note11</vt:lpstr>
      <vt:lpstr>Note11A</vt:lpstr>
      <vt:lpstr>Note12</vt:lpstr>
      <vt:lpstr>Note13</vt:lpstr>
      <vt:lpstr>Note14</vt:lpstr>
      <vt:lpstr>Note15</vt:lpstr>
      <vt:lpstr>Note16</vt:lpstr>
      <vt:lpstr>Note17</vt:lpstr>
      <vt:lpstr>Note18</vt:lpstr>
      <vt:lpstr>Note19</vt:lpstr>
      <vt:lpstr>Note19A</vt:lpstr>
      <vt:lpstr>Note20</vt:lpstr>
      <vt:lpstr>Note2A</vt:lpstr>
      <vt:lpstr>Note2B</vt:lpstr>
      <vt:lpstr>Note3A</vt:lpstr>
      <vt:lpstr>Note3B</vt:lpstr>
      <vt:lpstr>Note3W</vt:lpstr>
      <vt:lpstr>Note4</vt:lpstr>
      <vt:lpstr>Note5</vt:lpstr>
      <vt:lpstr>Note6</vt:lpstr>
      <vt:lpstr>Note7</vt:lpstr>
      <vt:lpstr>Note8</vt:lpstr>
      <vt:lpstr>Note9</vt:lpstr>
      <vt:lpstr>NRRates</vt:lpstr>
      <vt:lpstr>NSF</vt:lpstr>
      <vt:lpstr>OtherFees</vt:lpstr>
      <vt:lpstr>Attach2B!PAMeters</vt:lpstr>
      <vt:lpstr>Attach3B!PAMetersTY</vt:lpstr>
      <vt:lpstr>PAUnits</vt:lpstr>
      <vt:lpstr>PAUnitsTY</vt:lpstr>
      <vt:lpstr>PFPCharge</vt:lpstr>
      <vt:lpstr>PFPRates</vt:lpstr>
      <vt:lpstr>Attach1!Print_Area</vt:lpstr>
      <vt:lpstr>Attach10_AB!Print_Area</vt:lpstr>
      <vt:lpstr>Attach10_C!Print_Area</vt:lpstr>
      <vt:lpstr>Attach10_D!Print_Area</vt:lpstr>
      <vt:lpstr>Attach11!Print_Area</vt:lpstr>
      <vt:lpstr>Attach11a!Print_Area</vt:lpstr>
      <vt:lpstr>Attach12!Print_Area</vt:lpstr>
      <vt:lpstr>Attach13!Print_Area</vt:lpstr>
      <vt:lpstr>Attach14!Print_Area</vt:lpstr>
      <vt:lpstr>Attach15!Print_Area</vt:lpstr>
      <vt:lpstr>Attach16!Print_Area</vt:lpstr>
      <vt:lpstr>Attach17!Print_Area</vt:lpstr>
      <vt:lpstr>Attach18!Print_Area</vt:lpstr>
      <vt:lpstr>Attach19!Print_Area</vt:lpstr>
      <vt:lpstr>Attach19a!Print_Area</vt:lpstr>
      <vt:lpstr>Attach19b!Print_Area</vt:lpstr>
      <vt:lpstr>Attach20!Print_Area</vt:lpstr>
      <vt:lpstr>Attach21!Print_Area</vt:lpstr>
      <vt:lpstr>Attach22!Print_Area</vt:lpstr>
      <vt:lpstr>Attach2A!Print_Area</vt:lpstr>
      <vt:lpstr>Attach2B!Print_Area</vt:lpstr>
      <vt:lpstr>Attach3A!Print_Area</vt:lpstr>
      <vt:lpstr>Attach3B!Print_Area</vt:lpstr>
      <vt:lpstr>Attach3W!Print_Area</vt:lpstr>
      <vt:lpstr>Attach4!Print_Area</vt:lpstr>
      <vt:lpstr>Attach5!Print_Area</vt:lpstr>
      <vt:lpstr>Attach6!Print_Area</vt:lpstr>
      <vt:lpstr>Attach7!Print_Area</vt:lpstr>
      <vt:lpstr>Attach8!Print_Area</vt:lpstr>
      <vt:lpstr>Attach9!Print_Area</vt:lpstr>
      <vt:lpstr>Contact_Info!Print_Area</vt:lpstr>
      <vt:lpstr>Hearing!Print_Area</vt:lpstr>
      <vt:lpstr>Instructions!Print_Area</vt:lpstr>
      <vt:lpstr>Main_Menu!Print_Area</vt:lpstr>
      <vt:lpstr>'Ratemaking Goals'!Print_Area</vt:lpstr>
      <vt:lpstr>PrivateFPMeters</vt:lpstr>
      <vt:lpstr>PrivateFPRates</vt:lpstr>
      <vt:lpstr>Question1</vt:lpstr>
      <vt:lpstr>Question2</vt:lpstr>
      <vt:lpstr>Question3</vt:lpstr>
      <vt:lpstr>Question4</vt:lpstr>
      <vt:lpstr>Question5</vt:lpstr>
      <vt:lpstr>Question6</vt:lpstr>
      <vt:lpstr>RealEstateClosing</vt:lpstr>
      <vt:lpstr>Attach2B!ResMeters</vt:lpstr>
      <vt:lpstr>Attach3B!ResMetersTY</vt:lpstr>
      <vt:lpstr>ResUnits</vt:lpstr>
      <vt:lpstr>ResUnitsTY</vt:lpstr>
      <vt:lpstr>SpecialBilling</vt:lpstr>
      <vt:lpstr>SpecialMeterReading</vt:lpstr>
      <vt:lpstr>TestYear</vt:lpstr>
      <vt:lpstr>TestYearMatSup</vt:lpstr>
      <vt:lpstr>TestYearTotalPlant</vt:lpstr>
      <vt:lpstr>TestYearTotDep</vt:lpstr>
      <vt:lpstr>TestYearTotRegLiability</vt:lpstr>
      <vt:lpstr>Attach11!TransmissionDist</vt:lpstr>
      <vt:lpstr>UtilID</vt:lpstr>
      <vt:lpstr>Utility</vt:lpstr>
      <vt:lpstr>VolumeRates</vt:lpstr>
      <vt:lpstr>WaterService</vt:lpstr>
      <vt:lpstr>WholesaleTY</vt:lpstr>
    </vt:vector>
  </TitlesOfParts>
  <Company>Public Service Commission of Wisconsin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Shannon, Sam  PSC</dc:creator>
  <cp:lastModifiedBy>Stacy Grunwald</cp:lastModifiedBy>
  <cp:lastPrinted>2023-07-29T15:33:36Z</cp:lastPrinted>
  <dcterms:created xsi:type="dcterms:W3CDTF">2013-08-15T14:18:10Z</dcterms:created>
  <dcterms:modified xsi:type="dcterms:W3CDTF">2023-07-31T21:02:28Z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P_Owner}">
    <vt:lpwstr>cssadmin</vt:lpwstr>
  </property>
  <property fmtid="{D5CDD505-2E9C-101B-9397-08002B2CF9AE}" pid="3" name="{DLP_CreatedBy}">
    <vt:lpwstr>lillek</vt:lpwstr>
  </property>
  <property fmtid="{D5CDD505-2E9C-101B-9397-08002B2CF9AE}" pid="4" name="{DLP_CreatedOn}">
    <vt:lpwstr>9/19/2022 3:26:57 PM</vt:lpwstr>
  </property>
  <property fmtid="{D5CDD505-2E9C-101B-9397-08002B2CF9AE}" pid="5" name="{DLP_Description}">
    <vt:lpwstr/>
  </property>
  <property fmtid="{D5CDD505-2E9C-101B-9397-08002B2CF9AE}" pid="6" name="{DLP_VersionNotes}">
    <vt:lpwstr/>
  </property>
  <property fmtid="{D5CDD505-2E9C-101B-9397-08002B2CF9AE}" pid="7" name="{DLP_VersionID}">
    <vt:lpwstr>1</vt:lpwstr>
  </property>
  <property fmtid="{D5CDD505-2E9C-101B-9397-08002B2CF9AE}" pid="8" name="{DLP_MinorID}">
    <vt:lpwstr>0</vt:lpwstr>
  </property>
  <property fmtid="{D5CDD505-2E9C-101B-9397-08002B2CF9AE}" pid="9" name="{DLP_Path}">
    <vt:lpwstr>PSC\Documents\Utilities\01000-01999\1100-1199\1180\Non-Docket\Working Paper\</vt:lpwstr>
  </property>
  <property fmtid="{D5CDD505-2E9C-101B-9397-08002B2CF9AE}" pid="10" name="{DLP_ParentFolder}">
    <vt:lpwstr>7FD95E85-5EC6-4608-A3F5-4C11F3315FC5</vt:lpwstr>
  </property>
  <property fmtid="{D5CDD505-2E9C-101B-9397-08002B2CF9AE}" pid="11" name="{DLP_ObjectID}">
    <vt:lpwstr>9C7DF271C02B4ADC833EC737CD6F715</vt:lpwstr>
  </property>
  <property fmtid="{D5CDD505-2E9C-101B-9397-08002B2CF9AE}" pid="12" name="{DLP_FileName}">
    <vt:lpwstr>D 1180 Cleveland 2023TY Water Rate Increase Application.xls</vt:lpwstr>
  </property>
  <property fmtid="{D5CDD505-2E9C-101B-9397-08002B2CF9AE}" pid="13" name="{DLP_Extension}">
    <vt:lpwstr>.xls</vt:lpwstr>
  </property>
  <property fmtid="{D5CDD505-2E9C-101B-9397-08002B2CF9AE}" pid="14" name="{DLP_Profile}">
    <vt:lpwstr>Utility</vt:lpwstr>
  </property>
  <property fmtid="{D5CDD505-2E9C-101B-9397-08002B2CF9AE}" pid="15" name="{DLPP_Document Type}">
    <vt:lpwstr>Working Paper</vt:lpwstr>
  </property>
  <property fmtid="{D5CDD505-2E9C-101B-9397-08002B2CF9AE}" pid="16" name="{DLPP_EDM Reference Number}">
    <vt:lpwstr>01907051</vt:lpwstr>
  </property>
  <property fmtid="{D5CDD505-2E9C-101B-9397-08002B2CF9AE}" pid="17" name="{DLPP_Agenda Status}">
    <vt:lpwstr/>
  </property>
  <property fmtid="{D5CDD505-2E9C-101B-9397-08002B2CF9AE}" pid="18" name="{DLPP_ERF Document Type Code}">
    <vt:lpwstr/>
  </property>
  <property fmtid="{D5CDD505-2E9C-101B-9397-08002B2CF9AE}" pid="19" name="{DLPP_WorkflowInstanceName}">
    <vt:lpwstr/>
  </property>
  <property fmtid="{D5CDD505-2E9C-101B-9397-08002B2CF9AE}" pid="20" name="{DLPP_DidDocumentGoOutForComments?}">
    <vt:lpwstr/>
  </property>
  <property fmtid="{D5CDD505-2E9C-101B-9397-08002B2CF9AE}" pid="21" name="{DLPP_AgendaStatus}">
    <vt:lpwstr/>
  </property>
  <property fmtid="{D5CDD505-2E9C-101B-9397-08002B2CF9AE}" pid="22" name="{DLPP_Confidential Status}">
    <vt:lpwstr>NO</vt:lpwstr>
  </property>
  <property fmtid="{D5CDD505-2E9C-101B-9397-08002B2CF9AE}" pid="23" name="{DLPP_ERF Auto-Upload Status}">
    <vt:lpwstr/>
  </property>
  <property fmtid="{D5CDD505-2E9C-101B-9397-08002B2CF9AE}" pid="24" name="{DLPP_Utility_ID}">
    <vt:lpwstr>1180</vt:lpwstr>
  </property>
  <property fmtid="{D5CDD505-2E9C-101B-9397-08002B2CF9AE}" pid="25" name="{DLPP_Utility Range Level 1}">
    <vt:lpwstr>01000-01999</vt:lpwstr>
  </property>
  <property fmtid="{D5CDD505-2E9C-101B-9397-08002B2CF9AE}" pid="26" name="{DLPP_Utility Range Level 2}">
    <vt:lpwstr>1100-1199</vt:lpwstr>
  </property>
  <property fmtid="{D5CDD505-2E9C-101B-9397-08002B2CF9AE}" pid="27" name="{DLPP_Utility Name}">
    <vt:lpwstr>Cleveland Water Utility</vt:lpwstr>
  </property>
  <property fmtid="{D5CDD505-2E9C-101B-9397-08002B2CF9AE}" pid="28" name="{DLPP_ERF Description}">
    <vt:lpwstr/>
  </property>
</Properties>
</file>